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409"/>
  <workbookPr dateCompatibility="0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oniquebunce/Desktop/"/>
    </mc:Choice>
  </mc:AlternateContent>
  <xr:revisionPtr revIDLastSave="0" documentId="8_{A2F4F669-CF71-2F49-9678-3FB4D5830F2E}" xr6:coauthVersionLast="47" xr6:coauthVersionMax="47" xr10:uidLastSave="{00000000-0000-0000-0000-000000000000}"/>
  <bookViews>
    <workbookView xWindow="0" yWindow="500" windowWidth="28800" windowHeight="15840" tabRatio="862" activeTab="4" xr2:uid="{00000000-000D-0000-FFFF-FFFF00000000}"/>
  </bookViews>
  <sheets>
    <sheet name="Master" sheetId="34" r:id="rId1"/>
    <sheet name="Sheet1" sheetId="49" r:id="rId2"/>
    <sheet name="Reference Table" sheetId="11" r:id="rId3"/>
    <sheet name="Template" sheetId="41" state="hidden" r:id="rId4"/>
    <sheet name="GBPJPY" sheetId="43" r:id="rId5"/>
    <sheet name="USDJPY" sheetId="44" r:id="rId6"/>
    <sheet name="XAUUSD" sheetId="45" r:id="rId7"/>
    <sheet name="GER30" sheetId="46" r:id="rId8"/>
    <sheet name="NDX100" sheetId="47" r:id="rId9"/>
    <sheet name="SPX500" sheetId="48" r:id="rId10"/>
  </sheets>
  <definedNames>
    <definedName name="_xlnm.Print_Area" localSheetId="4">GBPJPY!$A$1:$AH$17</definedName>
    <definedName name="_xlnm.Print_Area" localSheetId="7">'GER30'!$A$1:$AH$17</definedName>
    <definedName name="_xlnm.Print_Area" localSheetId="0">Master!$A$1:$AH$17</definedName>
    <definedName name="_xlnm.Print_Area" localSheetId="8">'NDX100'!$A$1:$AH$17</definedName>
    <definedName name="_xlnm.Print_Area" localSheetId="9">'SPX500'!$A$1:$AH$17</definedName>
    <definedName name="_xlnm.Print_Area" localSheetId="3">Template!$A$1:$AH$17</definedName>
    <definedName name="_xlnm.Print_Area" localSheetId="5">USDJPY!$A$1:$AH$17</definedName>
    <definedName name="_xlnm.Print_Area" localSheetId="6">XAUUSD!$A$1:$AH$17</definedName>
  </definedNames>
  <calcPr calcId="191029" concurrentCalc="0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D24" i="34" l="1"/>
  <c r="D41" i="34"/>
  <c r="D44" i="34"/>
  <c r="D46" i="34"/>
  <c r="D49" i="34"/>
  <c r="D50" i="34"/>
  <c r="D53" i="34"/>
  <c r="D56" i="34"/>
  <c r="D58" i="34"/>
  <c r="D60" i="34"/>
  <c r="D64" i="34"/>
  <c r="D73" i="34"/>
  <c r="D75" i="34"/>
  <c r="D83" i="34"/>
  <c r="D89" i="34"/>
  <c r="D94" i="34"/>
  <c r="D95" i="34"/>
  <c r="D98" i="34"/>
  <c r="D100" i="34"/>
  <c r="D107" i="34"/>
  <c r="D111" i="34"/>
  <c r="D112" i="34"/>
  <c r="D118" i="34"/>
  <c r="D121" i="34"/>
  <c r="D130" i="34"/>
  <c r="D132" i="34"/>
  <c r="D138" i="34"/>
  <c r="D145" i="34"/>
  <c r="D149" i="34"/>
  <c r="D154" i="34"/>
  <c r="D160" i="34"/>
  <c r="D164" i="34"/>
  <c r="D175" i="34"/>
  <c r="D182" i="34"/>
  <c r="D187" i="34"/>
  <c r="D191" i="34"/>
  <c r="D192" i="34"/>
  <c r="D194" i="34"/>
  <c r="D202" i="34"/>
  <c r="D207" i="34"/>
  <c r="D211" i="34"/>
  <c r="D212" i="34"/>
  <c r="D223" i="34"/>
  <c r="D229" i="34"/>
  <c r="D235" i="34"/>
  <c r="D239" i="34"/>
  <c r="D243" i="34"/>
  <c r="D245" i="34"/>
  <c r="D247" i="34"/>
  <c r="D251" i="34"/>
  <c r="D256" i="34"/>
  <c r="D257" i="34"/>
  <c r="D258" i="34"/>
  <c r="D263" i="34"/>
  <c r="D269" i="34"/>
  <c r="D272" i="34"/>
  <c r="D273" i="34"/>
  <c r="D276" i="34"/>
  <c r="D281" i="34"/>
  <c r="D284" i="34"/>
  <c r="D287" i="34"/>
  <c r="D289" i="34"/>
  <c r="D292" i="34"/>
  <c r="D298" i="34"/>
  <c r="D300" i="34"/>
  <c r="D302" i="34"/>
  <c r="D306" i="34"/>
  <c r="D313" i="34"/>
  <c r="D315" i="34"/>
  <c r="D316" i="34"/>
  <c r="D318" i="34"/>
  <c r="D320" i="34"/>
  <c r="D324" i="34"/>
  <c r="D326" i="34"/>
  <c r="D329" i="34"/>
  <c r="D330" i="34"/>
  <c r="D333" i="34"/>
  <c r="D339" i="34"/>
  <c r="D343" i="34"/>
  <c r="D345" i="34"/>
  <c r="D347" i="34"/>
  <c r="D349" i="34"/>
  <c r="D350" i="34"/>
  <c r="D351" i="34"/>
  <c r="D354" i="34"/>
  <c r="D361" i="34"/>
  <c r="D366" i="34"/>
  <c r="D370" i="34"/>
  <c r="D376" i="34"/>
  <c r="D379" i="34"/>
  <c r="D380" i="34"/>
  <c r="D383" i="34"/>
  <c r="D386" i="34"/>
  <c r="D392" i="34"/>
  <c r="D397" i="34"/>
  <c r="D401" i="34"/>
  <c r="D403" i="34"/>
  <c r="D409" i="34"/>
  <c r="D414" i="34"/>
  <c r="D419" i="34"/>
  <c r="D429" i="34"/>
  <c r="D435" i="34"/>
  <c r="D439" i="34"/>
  <c r="D442" i="34"/>
  <c r="D446" i="34"/>
  <c r="D448" i="34"/>
  <c r="D450" i="34"/>
  <c r="D452" i="34"/>
  <c r="D458" i="34"/>
  <c r="D462" i="34"/>
  <c r="D464" i="34"/>
  <c r="D465" i="34"/>
  <c r="D468" i="34"/>
  <c r="D471" i="34"/>
  <c r="D474" i="34"/>
  <c r="D476" i="34"/>
  <c r="D478" i="34"/>
  <c r="D483" i="34"/>
  <c r="D488" i="34"/>
  <c r="D492" i="34"/>
  <c r="D494" i="34"/>
  <c r="D495" i="34"/>
  <c r="D503" i="34"/>
  <c r="D505" i="34"/>
  <c r="D509" i="34"/>
  <c r="D510" i="34"/>
  <c r="D512" i="34"/>
  <c r="D515" i="34"/>
  <c r="D517" i="34"/>
  <c r="D520" i="34"/>
  <c r="D522" i="34"/>
  <c r="D524" i="34"/>
  <c r="D528" i="34"/>
  <c r="D529" i="34"/>
  <c r="D534" i="34"/>
  <c r="D540" i="34"/>
  <c r="D542" i="34"/>
  <c r="D546" i="34"/>
  <c r="D547" i="34"/>
  <c r="D552" i="34"/>
  <c r="D558" i="34"/>
  <c r="D568" i="34"/>
  <c r="D570" i="34"/>
  <c r="D572" i="34"/>
  <c r="D575" i="34"/>
  <c r="D587" i="34"/>
  <c r="D591" i="34"/>
  <c r="D596" i="34"/>
  <c r="D598" i="34"/>
  <c r="D599" i="34"/>
  <c r="D602" i="34"/>
  <c r="D607" i="34"/>
  <c r="D612" i="34"/>
  <c r="D614" i="34"/>
  <c r="D615" i="34"/>
  <c r="D619" i="34"/>
  <c r="D623" i="34"/>
  <c r="D627" i="34"/>
  <c r="D630" i="34"/>
  <c r="D632" i="34"/>
  <c r="D639" i="34"/>
  <c r="D646" i="34"/>
  <c r="D647" i="34"/>
  <c r="D654" i="34"/>
  <c r="D656" i="34"/>
  <c r="D658" i="34"/>
  <c r="D660" i="34"/>
  <c r="D665" i="34"/>
  <c r="D668" i="34"/>
  <c r="D670" i="34"/>
  <c r="D673" i="34"/>
  <c r="D676" i="34"/>
  <c r="D678" i="34"/>
  <c r="D681" i="34"/>
  <c r="D692" i="34"/>
  <c r="D703" i="34"/>
  <c r="D708" i="34"/>
  <c r="D710" i="34"/>
  <c r="D714" i="34"/>
  <c r="D716" i="34"/>
  <c r="D724" i="34"/>
  <c r="D727" i="34"/>
  <c r="D729" i="34"/>
  <c r="D733" i="34"/>
  <c r="D735" i="34"/>
  <c r="D738" i="34"/>
  <c r="D744" i="34"/>
  <c r="D748" i="34"/>
  <c r="D749" i="34"/>
  <c r="D750" i="34"/>
  <c r="D753" i="34"/>
  <c r="D756" i="34"/>
  <c r="D759" i="34"/>
  <c r="D766" i="34"/>
  <c r="D769" i="34"/>
  <c r="D772" i="34"/>
  <c r="D774" i="34"/>
  <c r="I24" i="34"/>
  <c r="I41" i="34"/>
  <c r="I44" i="34"/>
  <c r="I46" i="34"/>
  <c r="I49" i="34"/>
  <c r="I50" i="34"/>
  <c r="I53" i="34"/>
  <c r="I56" i="34"/>
  <c r="I58" i="34"/>
  <c r="I60" i="34"/>
  <c r="I64" i="34"/>
  <c r="I73" i="34"/>
  <c r="I75" i="34"/>
  <c r="I83" i="34"/>
  <c r="I89" i="34"/>
  <c r="I94" i="34"/>
  <c r="I95" i="34"/>
  <c r="I98" i="34"/>
  <c r="I100" i="34"/>
  <c r="I107" i="34"/>
  <c r="I111" i="34"/>
  <c r="I112" i="34"/>
  <c r="I118" i="34"/>
  <c r="I121" i="34"/>
  <c r="I130" i="34"/>
  <c r="I132" i="34"/>
  <c r="I138" i="34"/>
  <c r="I145" i="34"/>
  <c r="I149" i="34"/>
  <c r="I154" i="34"/>
  <c r="I160" i="34"/>
  <c r="I164" i="34"/>
  <c r="I175" i="34"/>
  <c r="I182" i="34"/>
  <c r="I187" i="34"/>
  <c r="I191" i="34"/>
  <c r="I192" i="34"/>
  <c r="I194" i="34"/>
  <c r="I202" i="34"/>
  <c r="I207" i="34"/>
  <c r="I211" i="34"/>
  <c r="I212" i="34"/>
  <c r="I223" i="34"/>
  <c r="I229" i="34"/>
  <c r="I235" i="34"/>
  <c r="I239" i="34"/>
  <c r="I243" i="34"/>
  <c r="I245" i="34"/>
  <c r="I247" i="34"/>
  <c r="I251" i="34"/>
  <c r="I256" i="34"/>
  <c r="I257" i="34"/>
  <c r="I258" i="34"/>
  <c r="I263" i="34"/>
  <c r="I269" i="34"/>
  <c r="I272" i="34"/>
  <c r="I273" i="34"/>
  <c r="I276" i="34"/>
  <c r="I281" i="34"/>
  <c r="I284" i="34"/>
  <c r="I287" i="34"/>
  <c r="I289" i="34"/>
  <c r="I292" i="34"/>
  <c r="I298" i="34"/>
  <c r="I300" i="34"/>
  <c r="I302" i="34"/>
  <c r="I306" i="34"/>
  <c r="I313" i="34"/>
  <c r="I315" i="34"/>
  <c r="I316" i="34"/>
  <c r="I318" i="34"/>
  <c r="I320" i="34"/>
  <c r="I324" i="34"/>
  <c r="I326" i="34"/>
  <c r="I329" i="34"/>
  <c r="I330" i="34"/>
  <c r="I333" i="34"/>
  <c r="I339" i="34"/>
  <c r="I343" i="34"/>
  <c r="I345" i="34"/>
  <c r="I347" i="34"/>
  <c r="I349" i="34"/>
  <c r="I350" i="34"/>
  <c r="I351" i="34"/>
  <c r="I354" i="34"/>
  <c r="I361" i="34"/>
  <c r="I366" i="34"/>
  <c r="I370" i="34"/>
  <c r="I376" i="34"/>
  <c r="I379" i="34"/>
  <c r="I380" i="34"/>
  <c r="I383" i="34"/>
  <c r="I386" i="34"/>
  <c r="I392" i="34"/>
  <c r="I397" i="34"/>
  <c r="I401" i="34"/>
  <c r="I403" i="34"/>
  <c r="I409" i="34"/>
  <c r="I414" i="34"/>
  <c r="I419" i="34"/>
  <c r="I429" i="34"/>
  <c r="I435" i="34"/>
  <c r="I439" i="34"/>
  <c r="I442" i="34"/>
  <c r="I446" i="34"/>
  <c r="I448" i="34"/>
  <c r="I450" i="34"/>
  <c r="I452" i="34"/>
  <c r="I458" i="34"/>
  <c r="I462" i="34"/>
  <c r="I464" i="34"/>
  <c r="I465" i="34"/>
  <c r="I468" i="34"/>
  <c r="I471" i="34"/>
  <c r="I474" i="34"/>
  <c r="I476" i="34"/>
  <c r="I478" i="34"/>
  <c r="I483" i="34"/>
  <c r="I488" i="34"/>
  <c r="I492" i="34"/>
  <c r="I494" i="34"/>
  <c r="I495" i="34"/>
  <c r="I503" i="34"/>
  <c r="I505" i="34"/>
  <c r="I509" i="34"/>
  <c r="I510" i="34"/>
  <c r="I512" i="34"/>
  <c r="I515" i="34"/>
  <c r="I517" i="34"/>
  <c r="I520" i="34"/>
  <c r="I522" i="34"/>
  <c r="I524" i="34"/>
  <c r="I528" i="34"/>
  <c r="I529" i="34"/>
  <c r="I534" i="34"/>
  <c r="I540" i="34"/>
  <c r="I542" i="34"/>
  <c r="I546" i="34"/>
  <c r="I547" i="34"/>
  <c r="I552" i="34"/>
  <c r="I558" i="34"/>
  <c r="I568" i="34"/>
  <c r="I570" i="34"/>
  <c r="I572" i="34"/>
  <c r="I575" i="34"/>
  <c r="I587" i="34"/>
  <c r="I591" i="34"/>
  <c r="I596" i="34"/>
  <c r="I598" i="34"/>
  <c r="I599" i="34"/>
  <c r="I602" i="34"/>
  <c r="I607" i="34"/>
  <c r="I612" i="34"/>
  <c r="I614" i="34"/>
  <c r="I615" i="34"/>
  <c r="I619" i="34"/>
  <c r="I623" i="34"/>
  <c r="I627" i="34"/>
  <c r="I630" i="34"/>
  <c r="I632" i="34"/>
  <c r="I639" i="34"/>
  <c r="I646" i="34"/>
  <c r="I647" i="34"/>
  <c r="I654" i="34"/>
  <c r="I656" i="34"/>
  <c r="I658" i="34"/>
  <c r="I660" i="34"/>
  <c r="I665" i="34"/>
  <c r="I668" i="34"/>
  <c r="I670" i="34"/>
  <c r="I673" i="34"/>
  <c r="I676" i="34"/>
  <c r="I678" i="34"/>
  <c r="I681" i="34"/>
  <c r="I692" i="34"/>
  <c r="I703" i="34"/>
  <c r="I708" i="34"/>
  <c r="I710" i="34"/>
  <c r="I714" i="34"/>
  <c r="I716" i="34"/>
  <c r="I724" i="34"/>
  <c r="I727" i="34"/>
  <c r="I729" i="34"/>
  <c r="I733" i="34"/>
  <c r="I735" i="34"/>
  <c r="I738" i="34"/>
  <c r="I744" i="34"/>
  <c r="I748" i="34"/>
  <c r="I749" i="34"/>
  <c r="I750" i="34"/>
  <c r="I753" i="34"/>
  <c r="I756" i="34"/>
  <c r="I759" i="34"/>
  <c r="I766" i="34"/>
  <c r="I769" i="34"/>
  <c r="I772" i="34"/>
  <c r="I774" i="34"/>
  <c r="M24" i="34"/>
  <c r="M41" i="34"/>
  <c r="M44" i="34"/>
  <c r="M46" i="34"/>
  <c r="M49" i="34"/>
  <c r="M50" i="34"/>
  <c r="M53" i="34"/>
  <c r="M56" i="34"/>
  <c r="M58" i="34"/>
  <c r="M60" i="34"/>
  <c r="M64" i="34"/>
  <c r="M73" i="34"/>
  <c r="M75" i="34"/>
  <c r="M83" i="34"/>
  <c r="M89" i="34"/>
  <c r="M94" i="34"/>
  <c r="M95" i="34"/>
  <c r="M98" i="34"/>
  <c r="M100" i="34"/>
  <c r="M107" i="34"/>
  <c r="M111" i="34"/>
  <c r="M112" i="34"/>
  <c r="M118" i="34"/>
  <c r="M121" i="34"/>
  <c r="M130" i="34"/>
  <c r="M132" i="34"/>
  <c r="M138" i="34"/>
  <c r="M145" i="34"/>
  <c r="M149" i="34"/>
  <c r="M154" i="34"/>
  <c r="M160" i="34"/>
  <c r="M164" i="34"/>
  <c r="M175" i="34"/>
  <c r="M182" i="34"/>
  <c r="M187" i="34"/>
  <c r="M191" i="34"/>
  <c r="M192" i="34"/>
  <c r="M194" i="34"/>
  <c r="M202" i="34"/>
  <c r="M207" i="34"/>
  <c r="M211" i="34"/>
  <c r="M212" i="34"/>
  <c r="M223" i="34"/>
  <c r="M229" i="34"/>
  <c r="M235" i="34"/>
  <c r="M239" i="34"/>
  <c r="M243" i="34"/>
  <c r="M245" i="34"/>
  <c r="M247" i="34"/>
  <c r="M251" i="34"/>
  <c r="M256" i="34"/>
  <c r="M257" i="34"/>
  <c r="M258" i="34"/>
  <c r="M263" i="34"/>
  <c r="M269" i="34"/>
  <c r="M272" i="34"/>
  <c r="M273" i="34"/>
  <c r="M276" i="34"/>
  <c r="M281" i="34"/>
  <c r="M284" i="34"/>
  <c r="M287" i="34"/>
  <c r="M289" i="34"/>
  <c r="M292" i="34"/>
  <c r="M298" i="34"/>
  <c r="M300" i="34"/>
  <c r="M302" i="34"/>
  <c r="M306" i="34"/>
  <c r="M313" i="34"/>
  <c r="M315" i="34"/>
  <c r="M316" i="34"/>
  <c r="M318" i="34"/>
  <c r="M320" i="34"/>
  <c r="M324" i="34"/>
  <c r="M326" i="34"/>
  <c r="M329" i="34"/>
  <c r="M330" i="34"/>
  <c r="M333" i="34"/>
  <c r="M339" i="34"/>
  <c r="M343" i="34"/>
  <c r="M345" i="34"/>
  <c r="M347" i="34"/>
  <c r="M349" i="34"/>
  <c r="M350" i="34"/>
  <c r="M351" i="34"/>
  <c r="M354" i="34"/>
  <c r="M361" i="34"/>
  <c r="M366" i="34"/>
  <c r="M370" i="34"/>
  <c r="M376" i="34"/>
  <c r="M379" i="34"/>
  <c r="M380" i="34"/>
  <c r="M383" i="34"/>
  <c r="M386" i="34"/>
  <c r="M392" i="34"/>
  <c r="M397" i="34"/>
  <c r="M401" i="34"/>
  <c r="M403" i="34"/>
  <c r="M409" i="34"/>
  <c r="M414" i="34"/>
  <c r="M419" i="34"/>
  <c r="M429" i="34"/>
  <c r="M435" i="34"/>
  <c r="M439" i="34"/>
  <c r="M442" i="34"/>
  <c r="M446" i="34"/>
  <c r="M448" i="34"/>
  <c r="M450" i="34"/>
  <c r="M452" i="34"/>
  <c r="M458" i="34"/>
  <c r="M462" i="34"/>
  <c r="M464" i="34"/>
  <c r="M465" i="34"/>
  <c r="M468" i="34"/>
  <c r="M471" i="34"/>
  <c r="M474" i="34"/>
  <c r="M476" i="34"/>
  <c r="M478" i="34"/>
  <c r="M483" i="34"/>
  <c r="M488" i="34"/>
  <c r="M492" i="34"/>
  <c r="M494" i="34"/>
  <c r="M495" i="34"/>
  <c r="M503" i="34"/>
  <c r="M505" i="34"/>
  <c r="M509" i="34"/>
  <c r="M510" i="34"/>
  <c r="M512" i="34"/>
  <c r="M515" i="34"/>
  <c r="M517" i="34"/>
  <c r="M520" i="34"/>
  <c r="M522" i="34"/>
  <c r="M524" i="34"/>
  <c r="M528" i="34"/>
  <c r="M529" i="34"/>
  <c r="M534" i="34"/>
  <c r="M540" i="34"/>
  <c r="M542" i="34"/>
  <c r="M546" i="34"/>
  <c r="M547" i="34"/>
  <c r="M552" i="34"/>
  <c r="M558" i="34"/>
  <c r="M568" i="34"/>
  <c r="M570" i="34"/>
  <c r="M572" i="34"/>
  <c r="M575" i="34"/>
  <c r="M587" i="34"/>
  <c r="M591" i="34"/>
  <c r="M596" i="34"/>
  <c r="M598" i="34"/>
  <c r="M599" i="34"/>
  <c r="M602" i="34"/>
  <c r="M607" i="34"/>
  <c r="M612" i="34"/>
  <c r="M614" i="34"/>
  <c r="M615" i="34"/>
  <c r="M619" i="34"/>
  <c r="M623" i="34"/>
  <c r="M627" i="34"/>
  <c r="M630" i="34"/>
  <c r="M632" i="34"/>
  <c r="M639" i="34"/>
  <c r="M646" i="34"/>
  <c r="M647" i="34"/>
  <c r="M654" i="34"/>
  <c r="M656" i="34"/>
  <c r="M658" i="34"/>
  <c r="M660" i="34"/>
  <c r="M665" i="34"/>
  <c r="M668" i="34"/>
  <c r="M670" i="34"/>
  <c r="M673" i="34"/>
  <c r="M676" i="34"/>
  <c r="M678" i="34"/>
  <c r="M681" i="34"/>
  <c r="M692" i="34"/>
  <c r="M703" i="34"/>
  <c r="M708" i="34"/>
  <c r="M710" i="34"/>
  <c r="M714" i="34"/>
  <c r="M716" i="34"/>
  <c r="M724" i="34"/>
  <c r="M727" i="34"/>
  <c r="M729" i="34"/>
  <c r="M733" i="34"/>
  <c r="M735" i="34"/>
  <c r="M738" i="34"/>
  <c r="M744" i="34"/>
  <c r="M748" i="34"/>
  <c r="M749" i="34"/>
  <c r="M750" i="34"/>
  <c r="M753" i="34"/>
  <c r="M756" i="34"/>
  <c r="M759" i="34"/>
  <c r="M766" i="34"/>
  <c r="M769" i="34"/>
  <c r="M772" i="34"/>
  <c r="M774" i="34"/>
  <c r="N24" i="34"/>
  <c r="N41" i="34"/>
  <c r="N44" i="34"/>
  <c r="N46" i="34"/>
  <c r="N49" i="34"/>
  <c r="N50" i="34"/>
  <c r="N53" i="34"/>
  <c r="N56" i="34"/>
  <c r="N58" i="34"/>
  <c r="N60" i="34"/>
  <c r="N64" i="34"/>
  <c r="N73" i="34"/>
  <c r="N75" i="34"/>
  <c r="N83" i="34"/>
  <c r="N89" i="34"/>
  <c r="N94" i="34"/>
  <c r="N95" i="34"/>
  <c r="N98" i="34"/>
  <c r="N100" i="34"/>
  <c r="N107" i="34"/>
  <c r="N111" i="34"/>
  <c r="N112" i="34"/>
  <c r="N118" i="34"/>
  <c r="N121" i="34"/>
  <c r="N130" i="34"/>
  <c r="N132" i="34"/>
  <c r="N138" i="34"/>
  <c r="N145" i="34"/>
  <c r="N149" i="34"/>
  <c r="N154" i="34"/>
  <c r="N160" i="34"/>
  <c r="N164" i="34"/>
  <c r="N175" i="34"/>
  <c r="N182" i="34"/>
  <c r="N187" i="34"/>
  <c r="N191" i="34"/>
  <c r="N192" i="34"/>
  <c r="N194" i="34"/>
  <c r="N202" i="34"/>
  <c r="N207" i="34"/>
  <c r="N211" i="34"/>
  <c r="N212" i="34"/>
  <c r="N223" i="34"/>
  <c r="N229" i="34"/>
  <c r="N235" i="34"/>
  <c r="N239" i="34"/>
  <c r="N243" i="34"/>
  <c r="N245" i="34"/>
  <c r="N247" i="34"/>
  <c r="N251" i="34"/>
  <c r="N256" i="34"/>
  <c r="N257" i="34"/>
  <c r="N258" i="34"/>
  <c r="N263" i="34"/>
  <c r="N269" i="34"/>
  <c r="N272" i="34"/>
  <c r="N273" i="34"/>
  <c r="N276" i="34"/>
  <c r="N281" i="34"/>
  <c r="N284" i="34"/>
  <c r="N287" i="34"/>
  <c r="N289" i="34"/>
  <c r="N292" i="34"/>
  <c r="N298" i="34"/>
  <c r="N300" i="34"/>
  <c r="N302" i="34"/>
  <c r="N306" i="34"/>
  <c r="N313" i="34"/>
  <c r="N315" i="34"/>
  <c r="N316" i="34"/>
  <c r="N318" i="34"/>
  <c r="N320" i="34"/>
  <c r="N324" i="34"/>
  <c r="N326" i="34"/>
  <c r="N329" i="34"/>
  <c r="N330" i="34"/>
  <c r="N333" i="34"/>
  <c r="N339" i="34"/>
  <c r="N343" i="34"/>
  <c r="N345" i="34"/>
  <c r="N347" i="34"/>
  <c r="N349" i="34"/>
  <c r="N350" i="34"/>
  <c r="N351" i="34"/>
  <c r="N354" i="34"/>
  <c r="N361" i="34"/>
  <c r="N366" i="34"/>
  <c r="N370" i="34"/>
  <c r="N376" i="34"/>
  <c r="N379" i="34"/>
  <c r="N380" i="34"/>
  <c r="N383" i="34"/>
  <c r="N386" i="34"/>
  <c r="N392" i="34"/>
  <c r="N397" i="34"/>
  <c r="N401" i="34"/>
  <c r="N403" i="34"/>
  <c r="N409" i="34"/>
  <c r="N414" i="34"/>
  <c r="N419" i="34"/>
  <c r="N429" i="34"/>
  <c r="N435" i="34"/>
  <c r="N439" i="34"/>
  <c r="N442" i="34"/>
  <c r="N446" i="34"/>
  <c r="N448" i="34"/>
  <c r="N450" i="34"/>
  <c r="N452" i="34"/>
  <c r="N458" i="34"/>
  <c r="N462" i="34"/>
  <c r="N464" i="34"/>
  <c r="N465" i="34"/>
  <c r="N468" i="34"/>
  <c r="N471" i="34"/>
  <c r="N474" i="34"/>
  <c r="N476" i="34"/>
  <c r="N478" i="34"/>
  <c r="N483" i="34"/>
  <c r="N488" i="34"/>
  <c r="N492" i="34"/>
  <c r="N494" i="34"/>
  <c r="N495" i="34"/>
  <c r="N503" i="34"/>
  <c r="N505" i="34"/>
  <c r="N509" i="34"/>
  <c r="N510" i="34"/>
  <c r="N512" i="34"/>
  <c r="N515" i="34"/>
  <c r="N517" i="34"/>
  <c r="N520" i="34"/>
  <c r="N522" i="34"/>
  <c r="N524" i="34"/>
  <c r="N528" i="34"/>
  <c r="N529" i="34"/>
  <c r="N534" i="34"/>
  <c r="N540" i="34"/>
  <c r="N542" i="34"/>
  <c r="N546" i="34"/>
  <c r="N547" i="34"/>
  <c r="N552" i="34"/>
  <c r="N558" i="34"/>
  <c r="N568" i="34"/>
  <c r="N570" i="34"/>
  <c r="N572" i="34"/>
  <c r="N575" i="34"/>
  <c r="N587" i="34"/>
  <c r="N591" i="34"/>
  <c r="N596" i="34"/>
  <c r="N598" i="34"/>
  <c r="N599" i="34"/>
  <c r="N602" i="34"/>
  <c r="N607" i="34"/>
  <c r="N612" i="34"/>
  <c r="N614" i="34"/>
  <c r="N615" i="34"/>
  <c r="N619" i="34"/>
  <c r="N623" i="34"/>
  <c r="N627" i="34"/>
  <c r="N630" i="34"/>
  <c r="N632" i="34"/>
  <c r="N639" i="34"/>
  <c r="N646" i="34"/>
  <c r="N647" i="34"/>
  <c r="N654" i="34"/>
  <c r="N656" i="34"/>
  <c r="N658" i="34"/>
  <c r="N660" i="34"/>
  <c r="N665" i="34"/>
  <c r="N668" i="34"/>
  <c r="N670" i="34"/>
  <c r="N673" i="34"/>
  <c r="N676" i="34"/>
  <c r="N678" i="34"/>
  <c r="N681" i="34"/>
  <c r="N692" i="34"/>
  <c r="N703" i="34"/>
  <c r="N708" i="34"/>
  <c r="N710" i="34"/>
  <c r="N714" i="34"/>
  <c r="N716" i="34"/>
  <c r="N724" i="34"/>
  <c r="N727" i="34"/>
  <c r="N729" i="34"/>
  <c r="N733" i="34"/>
  <c r="N735" i="34"/>
  <c r="N738" i="34"/>
  <c r="N744" i="34"/>
  <c r="N748" i="34"/>
  <c r="N749" i="34"/>
  <c r="N750" i="34"/>
  <c r="N753" i="34"/>
  <c r="N756" i="34"/>
  <c r="N759" i="34"/>
  <c r="N766" i="34"/>
  <c r="N769" i="34"/>
  <c r="N772" i="34"/>
  <c r="N774" i="34"/>
  <c r="O24" i="34"/>
  <c r="O41" i="34"/>
  <c r="O44" i="34"/>
  <c r="O46" i="34"/>
  <c r="O49" i="34"/>
  <c r="O50" i="34"/>
  <c r="O53" i="34"/>
  <c r="O56" i="34"/>
  <c r="O58" i="34"/>
  <c r="O60" i="34"/>
  <c r="O64" i="34"/>
  <c r="O73" i="34"/>
  <c r="O75" i="34"/>
  <c r="O83" i="34"/>
  <c r="O89" i="34"/>
  <c r="O94" i="34"/>
  <c r="O95" i="34"/>
  <c r="O98" i="34"/>
  <c r="O100" i="34"/>
  <c r="O107" i="34"/>
  <c r="O111" i="34"/>
  <c r="O112" i="34"/>
  <c r="O118" i="34"/>
  <c r="O121" i="34"/>
  <c r="O130" i="34"/>
  <c r="O132" i="34"/>
  <c r="O138" i="34"/>
  <c r="O145" i="34"/>
  <c r="O149" i="34"/>
  <c r="O154" i="34"/>
  <c r="O160" i="34"/>
  <c r="O164" i="34"/>
  <c r="O175" i="34"/>
  <c r="O182" i="34"/>
  <c r="O187" i="34"/>
  <c r="O191" i="34"/>
  <c r="O192" i="34"/>
  <c r="O194" i="34"/>
  <c r="O202" i="34"/>
  <c r="O207" i="34"/>
  <c r="O211" i="34"/>
  <c r="O212" i="34"/>
  <c r="O223" i="34"/>
  <c r="O229" i="34"/>
  <c r="O235" i="34"/>
  <c r="O239" i="34"/>
  <c r="O243" i="34"/>
  <c r="O245" i="34"/>
  <c r="O247" i="34"/>
  <c r="O251" i="34"/>
  <c r="O256" i="34"/>
  <c r="O257" i="34"/>
  <c r="O258" i="34"/>
  <c r="O263" i="34"/>
  <c r="O269" i="34"/>
  <c r="O272" i="34"/>
  <c r="O273" i="34"/>
  <c r="O276" i="34"/>
  <c r="O281" i="34"/>
  <c r="O284" i="34"/>
  <c r="O287" i="34"/>
  <c r="O289" i="34"/>
  <c r="O292" i="34"/>
  <c r="O298" i="34"/>
  <c r="O300" i="34"/>
  <c r="O302" i="34"/>
  <c r="O306" i="34"/>
  <c r="O313" i="34"/>
  <c r="O315" i="34"/>
  <c r="O316" i="34"/>
  <c r="O318" i="34"/>
  <c r="O320" i="34"/>
  <c r="O324" i="34"/>
  <c r="O326" i="34"/>
  <c r="O329" i="34"/>
  <c r="O330" i="34"/>
  <c r="O333" i="34"/>
  <c r="O339" i="34"/>
  <c r="O343" i="34"/>
  <c r="O345" i="34"/>
  <c r="O347" i="34"/>
  <c r="O349" i="34"/>
  <c r="O350" i="34"/>
  <c r="O351" i="34"/>
  <c r="O354" i="34"/>
  <c r="O361" i="34"/>
  <c r="O366" i="34"/>
  <c r="O370" i="34"/>
  <c r="O376" i="34"/>
  <c r="O379" i="34"/>
  <c r="O380" i="34"/>
  <c r="O383" i="34"/>
  <c r="O386" i="34"/>
  <c r="O392" i="34"/>
  <c r="O397" i="34"/>
  <c r="O401" i="34"/>
  <c r="O403" i="34"/>
  <c r="O409" i="34"/>
  <c r="O414" i="34"/>
  <c r="O419" i="34"/>
  <c r="O429" i="34"/>
  <c r="O435" i="34"/>
  <c r="O439" i="34"/>
  <c r="O442" i="34"/>
  <c r="O446" i="34"/>
  <c r="O448" i="34"/>
  <c r="O450" i="34"/>
  <c r="O452" i="34"/>
  <c r="O458" i="34"/>
  <c r="O462" i="34"/>
  <c r="O464" i="34"/>
  <c r="O465" i="34"/>
  <c r="O468" i="34"/>
  <c r="O471" i="34"/>
  <c r="O474" i="34"/>
  <c r="O476" i="34"/>
  <c r="O478" i="34"/>
  <c r="O483" i="34"/>
  <c r="O488" i="34"/>
  <c r="O492" i="34"/>
  <c r="O494" i="34"/>
  <c r="O495" i="34"/>
  <c r="O503" i="34"/>
  <c r="O505" i="34"/>
  <c r="O509" i="34"/>
  <c r="O510" i="34"/>
  <c r="O512" i="34"/>
  <c r="O515" i="34"/>
  <c r="O517" i="34"/>
  <c r="O520" i="34"/>
  <c r="O522" i="34"/>
  <c r="O524" i="34"/>
  <c r="O528" i="34"/>
  <c r="O529" i="34"/>
  <c r="O534" i="34"/>
  <c r="O540" i="34"/>
  <c r="O542" i="34"/>
  <c r="O546" i="34"/>
  <c r="O547" i="34"/>
  <c r="O552" i="34"/>
  <c r="O558" i="34"/>
  <c r="O568" i="34"/>
  <c r="O570" i="34"/>
  <c r="O572" i="34"/>
  <c r="O575" i="34"/>
  <c r="O587" i="34"/>
  <c r="O591" i="34"/>
  <c r="O596" i="34"/>
  <c r="O598" i="34"/>
  <c r="O599" i="34"/>
  <c r="O602" i="34"/>
  <c r="O607" i="34"/>
  <c r="O612" i="34"/>
  <c r="O614" i="34"/>
  <c r="O615" i="34"/>
  <c r="O619" i="34"/>
  <c r="O623" i="34"/>
  <c r="O627" i="34"/>
  <c r="O630" i="34"/>
  <c r="O632" i="34"/>
  <c r="O639" i="34"/>
  <c r="O646" i="34"/>
  <c r="O647" i="34"/>
  <c r="O654" i="34"/>
  <c r="O656" i="34"/>
  <c r="O658" i="34"/>
  <c r="O660" i="34"/>
  <c r="O665" i="34"/>
  <c r="O668" i="34"/>
  <c r="O670" i="34"/>
  <c r="O673" i="34"/>
  <c r="O676" i="34"/>
  <c r="O678" i="34"/>
  <c r="O681" i="34"/>
  <c r="O692" i="34"/>
  <c r="O703" i="34"/>
  <c r="O708" i="34"/>
  <c r="O710" i="34"/>
  <c r="O714" i="34"/>
  <c r="O716" i="34"/>
  <c r="O724" i="34"/>
  <c r="O727" i="34"/>
  <c r="O729" i="34"/>
  <c r="O733" i="34"/>
  <c r="O735" i="34"/>
  <c r="O738" i="34"/>
  <c r="O744" i="34"/>
  <c r="O748" i="34"/>
  <c r="O749" i="34"/>
  <c r="O750" i="34"/>
  <c r="O753" i="34"/>
  <c r="O756" i="34"/>
  <c r="O759" i="34"/>
  <c r="O766" i="34"/>
  <c r="O769" i="34"/>
  <c r="O772" i="34"/>
  <c r="O774" i="34"/>
  <c r="P24" i="34"/>
  <c r="P41" i="34"/>
  <c r="P44" i="34"/>
  <c r="P46" i="34"/>
  <c r="P49" i="34"/>
  <c r="P50" i="34"/>
  <c r="P53" i="34"/>
  <c r="P56" i="34"/>
  <c r="P58" i="34"/>
  <c r="P60" i="34"/>
  <c r="P64" i="34"/>
  <c r="P73" i="34"/>
  <c r="P75" i="34"/>
  <c r="P83" i="34"/>
  <c r="P89" i="34"/>
  <c r="P94" i="34"/>
  <c r="P95" i="34"/>
  <c r="P98" i="34"/>
  <c r="P100" i="34"/>
  <c r="P107" i="34"/>
  <c r="P111" i="34"/>
  <c r="P112" i="34"/>
  <c r="P118" i="34"/>
  <c r="P121" i="34"/>
  <c r="P130" i="34"/>
  <c r="P132" i="34"/>
  <c r="P138" i="34"/>
  <c r="P145" i="34"/>
  <c r="P149" i="34"/>
  <c r="P154" i="34"/>
  <c r="P160" i="34"/>
  <c r="P164" i="34"/>
  <c r="P175" i="34"/>
  <c r="P182" i="34"/>
  <c r="P187" i="34"/>
  <c r="P191" i="34"/>
  <c r="P192" i="34"/>
  <c r="P194" i="34"/>
  <c r="P202" i="34"/>
  <c r="P207" i="34"/>
  <c r="P211" i="34"/>
  <c r="P212" i="34"/>
  <c r="P223" i="34"/>
  <c r="P229" i="34"/>
  <c r="P235" i="34"/>
  <c r="P239" i="34"/>
  <c r="P243" i="34"/>
  <c r="P245" i="34"/>
  <c r="P247" i="34"/>
  <c r="P251" i="34"/>
  <c r="P256" i="34"/>
  <c r="P257" i="34"/>
  <c r="P258" i="34"/>
  <c r="P263" i="34"/>
  <c r="P269" i="34"/>
  <c r="P272" i="34"/>
  <c r="P273" i="34"/>
  <c r="P276" i="34"/>
  <c r="P281" i="34"/>
  <c r="P284" i="34"/>
  <c r="P287" i="34"/>
  <c r="P289" i="34"/>
  <c r="P292" i="34"/>
  <c r="P298" i="34"/>
  <c r="P300" i="34"/>
  <c r="P302" i="34"/>
  <c r="P306" i="34"/>
  <c r="P313" i="34"/>
  <c r="P315" i="34"/>
  <c r="P316" i="34"/>
  <c r="P318" i="34"/>
  <c r="P320" i="34"/>
  <c r="P324" i="34"/>
  <c r="P326" i="34"/>
  <c r="P329" i="34"/>
  <c r="P330" i="34"/>
  <c r="P333" i="34"/>
  <c r="P339" i="34"/>
  <c r="P343" i="34"/>
  <c r="P345" i="34"/>
  <c r="P347" i="34"/>
  <c r="P349" i="34"/>
  <c r="P350" i="34"/>
  <c r="P351" i="34"/>
  <c r="P354" i="34"/>
  <c r="P361" i="34"/>
  <c r="P366" i="34"/>
  <c r="P370" i="34"/>
  <c r="P376" i="34"/>
  <c r="P379" i="34"/>
  <c r="P380" i="34"/>
  <c r="P383" i="34"/>
  <c r="P386" i="34"/>
  <c r="P392" i="34"/>
  <c r="P397" i="34"/>
  <c r="P401" i="34"/>
  <c r="P403" i="34"/>
  <c r="P409" i="34"/>
  <c r="P414" i="34"/>
  <c r="P419" i="34"/>
  <c r="P429" i="34"/>
  <c r="P435" i="34"/>
  <c r="P439" i="34"/>
  <c r="P442" i="34"/>
  <c r="P446" i="34"/>
  <c r="P448" i="34"/>
  <c r="P450" i="34"/>
  <c r="P452" i="34"/>
  <c r="P458" i="34"/>
  <c r="P462" i="34"/>
  <c r="P464" i="34"/>
  <c r="P465" i="34"/>
  <c r="P468" i="34"/>
  <c r="P471" i="34"/>
  <c r="P474" i="34"/>
  <c r="P476" i="34"/>
  <c r="P478" i="34"/>
  <c r="P483" i="34"/>
  <c r="P488" i="34"/>
  <c r="P492" i="34"/>
  <c r="P494" i="34"/>
  <c r="P495" i="34"/>
  <c r="P503" i="34"/>
  <c r="P505" i="34"/>
  <c r="P509" i="34"/>
  <c r="P510" i="34"/>
  <c r="P512" i="34"/>
  <c r="P515" i="34"/>
  <c r="P517" i="34"/>
  <c r="P520" i="34"/>
  <c r="P522" i="34"/>
  <c r="P524" i="34"/>
  <c r="P528" i="34"/>
  <c r="P529" i="34"/>
  <c r="P534" i="34"/>
  <c r="P540" i="34"/>
  <c r="P542" i="34"/>
  <c r="P546" i="34"/>
  <c r="P547" i="34"/>
  <c r="P552" i="34"/>
  <c r="P558" i="34"/>
  <c r="P568" i="34"/>
  <c r="P570" i="34"/>
  <c r="P572" i="34"/>
  <c r="P575" i="34"/>
  <c r="P587" i="34"/>
  <c r="P591" i="34"/>
  <c r="P596" i="34"/>
  <c r="P598" i="34"/>
  <c r="P599" i="34"/>
  <c r="P602" i="34"/>
  <c r="P607" i="34"/>
  <c r="P612" i="34"/>
  <c r="P614" i="34"/>
  <c r="P615" i="34"/>
  <c r="P619" i="34"/>
  <c r="P623" i="34"/>
  <c r="P627" i="34"/>
  <c r="P630" i="34"/>
  <c r="P632" i="34"/>
  <c r="P639" i="34"/>
  <c r="P646" i="34"/>
  <c r="P647" i="34"/>
  <c r="P654" i="34"/>
  <c r="P656" i="34"/>
  <c r="P658" i="34"/>
  <c r="P660" i="34"/>
  <c r="P665" i="34"/>
  <c r="P668" i="34"/>
  <c r="P670" i="34"/>
  <c r="P673" i="34"/>
  <c r="P676" i="34"/>
  <c r="P678" i="34"/>
  <c r="P681" i="34"/>
  <c r="P692" i="34"/>
  <c r="P703" i="34"/>
  <c r="P708" i="34"/>
  <c r="P710" i="34"/>
  <c r="P714" i="34"/>
  <c r="P716" i="34"/>
  <c r="P724" i="34"/>
  <c r="P727" i="34"/>
  <c r="P729" i="34"/>
  <c r="P733" i="34"/>
  <c r="P735" i="34"/>
  <c r="P738" i="34"/>
  <c r="P744" i="34"/>
  <c r="P748" i="34"/>
  <c r="P749" i="34"/>
  <c r="P750" i="34"/>
  <c r="P753" i="34"/>
  <c r="P756" i="34"/>
  <c r="P759" i="34"/>
  <c r="P766" i="34"/>
  <c r="P769" i="34"/>
  <c r="P772" i="34"/>
  <c r="P774" i="34"/>
  <c r="Q24" i="34"/>
  <c r="Q41" i="34"/>
  <c r="Q44" i="34"/>
  <c r="Q46" i="34"/>
  <c r="Q49" i="34"/>
  <c r="Q50" i="34"/>
  <c r="Q53" i="34"/>
  <c r="Q56" i="34"/>
  <c r="Q58" i="34"/>
  <c r="Q60" i="34"/>
  <c r="Q64" i="34"/>
  <c r="Q73" i="34"/>
  <c r="Q75" i="34"/>
  <c r="Q83" i="34"/>
  <c r="Q89" i="34"/>
  <c r="Q94" i="34"/>
  <c r="Q95" i="34"/>
  <c r="Q98" i="34"/>
  <c r="Q100" i="34"/>
  <c r="Q107" i="34"/>
  <c r="Q111" i="34"/>
  <c r="Q112" i="34"/>
  <c r="Q118" i="34"/>
  <c r="Q121" i="34"/>
  <c r="Q130" i="34"/>
  <c r="Q132" i="34"/>
  <c r="Q138" i="34"/>
  <c r="Q145" i="34"/>
  <c r="Q149" i="34"/>
  <c r="Q154" i="34"/>
  <c r="Q160" i="34"/>
  <c r="Q164" i="34"/>
  <c r="Q175" i="34"/>
  <c r="Q182" i="34"/>
  <c r="Q187" i="34"/>
  <c r="Q191" i="34"/>
  <c r="Q192" i="34"/>
  <c r="Q194" i="34"/>
  <c r="Q202" i="34"/>
  <c r="Q207" i="34"/>
  <c r="Q211" i="34"/>
  <c r="Q212" i="34"/>
  <c r="Q223" i="34"/>
  <c r="Q229" i="34"/>
  <c r="Q235" i="34"/>
  <c r="Q239" i="34"/>
  <c r="Q243" i="34"/>
  <c r="Q245" i="34"/>
  <c r="Q247" i="34"/>
  <c r="Q251" i="34"/>
  <c r="Q256" i="34"/>
  <c r="Q257" i="34"/>
  <c r="Q258" i="34"/>
  <c r="Q263" i="34"/>
  <c r="Q269" i="34"/>
  <c r="Q272" i="34"/>
  <c r="Q273" i="34"/>
  <c r="Q276" i="34"/>
  <c r="Q281" i="34"/>
  <c r="Q284" i="34"/>
  <c r="Q287" i="34"/>
  <c r="Q289" i="34"/>
  <c r="Q292" i="34"/>
  <c r="Q298" i="34"/>
  <c r="Q300" i="34"/>
  <c r="Q302" i="34"/>
  <c r="Q306" i="34"/>
  <c r="Q313" i="34"/>
  <c r="Q315" i="34"/>
  <c r="Q316" i="34"/>
  <c r="Q318" i="34"/>
  <c r="Q320" i="34"/>
  <c r="Q324" i="34"/>
  <c r="Q326" i="34"/>
  <c r="Q329" i="34"/>
  <c r="Q330" i="34"/>
  <c r="Q333" i="34"/>
  <c r="Q339" i="34"/>
  <c r="Q343" i="34"/>
  <c r="Q345" i="34"/>
  <c r="Q347" i="34"/>
  <c r="Q349" i="34"/>
  <c r="Q350" i="34"/>
  <c r="Q351" i="34"/>
  <c r="Q354" i="34"/>
  <c r="Q361" i="34"/>
  <c r="Q366" i="34"/>
  <c r="Q370" i="34"/>
  <c r="Q376" i="34"/>
  <c r="Q379" i="34"/>
  <c r="Q380" i="34"/>
  <c r="Q383" i="34"/>
  <c r="Q386" i="34"/>
  <c r="Q392" i="34"/>
  <c r="Q397" i="34"/>
  <c r="Q401" i="34"/>
  <c r="Q403" i="34"/>
  <c r="Q409" i="34"/>
  <c r="Q414" i="34"/>
  <c r="Q419" i="34"/>
  <c r="Q429" i="34"/>
  <c r="Q435" i="34"/>
  <c r="Q439" i="34"/>
  <c r="Q442" i="34"/>
  <c r="Q446" i="34"/>
  <c r="Q448" i="34"/>
  <c r="Q450" i="34"/>
  <c r="Q452" i="34"/>
  <c r="Q458" i="34"/>
  <c r="Q462" i="34"/>
  <c r="Q464" i="34"/>
  <c r="Q465" i="34"/>
  <c r="Q468" i="34"/>
  <c r="Q471" i="34"/>
  <c r="Q474" i="34"/>
  <c r="Q476" i="34"/>
  <c r="Q478" i="34"/>
  <c r="Q483" i="34"/>
  <c r="Q488" i="34"/>
  <c r="Q492" i="34"/>
  <c r="Q494" i="34"/>
  <c r="Q495" i="34"/>
  <c r="Q503" i="34"/>
  <c r="Q505" i="34"/>
  <c r="Q509" i="34"/>
  <c r="Q510" i="34"/>
  <c r="Q512" i="34"/>
  <c r="Q515" i="34"/>
  <c r="Q517" i="34"/>
  <c r="Q520" i="34"/>
  <c r="Q522" i="34"/>
  <c r="Q524" i="34"/>
  <c r="Q528" i="34"/>
  <c r="Q529" i="34"/>
  <c r="Q534" i="34"/>
  <c r="Q540" i="34"/>
  <c r="Q542" i="34"/>
  <c r="Q546" i="34"/>
  <c r="Q547" i="34"/>
  <c r="Q552" i="34"/>
  <c r="Q558" i="34"/>
  <c r="Q568" i="34"/>
  <c r="Q570" i="34"/>
  <c r="Q572" i="34"/>
  <c r="Q575" i="34"/>
  <c r="Q587" i="34"/>
  <c r="Q591" i="34"/>
  <c r="Q596" i="34"/>
  <c r="Q598" i="34"/>
  <c r="Q599" i="34"/>
  <c r="Q602" i="34"/>
  <c r="Q607" i="34"/>
  <c r="Q612" i="34"/>
  <c r="Q614" i="34"/>
  <c r="Q615" i="34"/>
  <c r="Q619" i="34"/>
  <c r="Q623" i="34"/>
  <c r="Q627" i="34"/>
  <c r="Q630" i="34"/>
  <c r="Q632" i="34"/>
  <c r="Q639" i="34"/>
  <c r="Q646" i="34"/>
  <c r="Q647" i="34"/>
  <c r="Q654" i="34"/>
  <c r="Q656" i="34"/>
  <c r="Q658" i="34"/>
  <c r="Q660" i="34"/>
  <c r="Q665" i="34"/>
  <c r="Q668" i="34"/>
  <c r="Q670" i="34"/>
  <c r="Q673" i="34"/>
  <c r="Q676" i="34"/>
  <c r="Q678" i="34"/>
  <c r="Q681" i="34"/>
  <c r="Q692" i="34"/>
  <c r="Q703" i="34"/>
  <c r="Q708" i="34"/>
  <c r="Q710" i="34"/>
  <c r="Q714" i="34"/>
  <c r="Q716" i="34"/>
  <c r="Q724" i="34"/>
  <c r="Q727" i="34"/>
  <c r="Q729" i="34"/>
  <c r="Q733" i="34"/>
  <c r="Q735" i="34"/>
  <c r="Q738" i="34"/>
  <c r="Q744" i="34"/>
  <c r="Q748" i="34"/>
  <c r="Q749" i="34"/>
  <c r="Q750" i="34"/>
  <c r="Q753" i="34"/>
  <c r="Q756" i="34"/>
  <c r="Q759" i="34"/>
  <c r="Q766" i="34"/>
  <c r="Q769" i="34"/>
  <c r="Q772" i="34"/>
  <c r="Q774" i="34"/>
  <c r="M777" i="34"/>
  <c r="I777" i="34"/>
  <c r="N777" i="34"/>
  <c r="S777" i="34"/>
  <c r="M776" i="34"/>
  <c r="I776" i="34"/>
  <c r="N776" i="34"/>
  <c r="S776" i="34"/>
  <c r="M775" i="34"/>
  <c r="I775" i="34"/>
  <c r="N775" i="34"/>
  <c r="S775" i="34"/>
  <c r="S774" i="34"/>
  <c r="M773" i="34"/>
  <c r="I773" i="34"/>
  <c r="N773" i="34"/>
  <c r="S773" i="34"/>
  <c r="S772" i="34"/>
  <c r="M771" i="34"/>
  <c r="I771" i="34"/>
  <c r="N771" i="34"/>
  <c r="S771" i="34"/>
  <c r="M770" i="34"/>
  <c r="I770" i="34"/>
  <c r="N770" i="34"/>
  <c r="S770" i="34"/>
  <c r="S769" i="34"/>
  <c r="M768" i="34"/>
  <c r="I768" i="34"/>
  <c r="N768" i="34"/>
  <c r="S768" i="34"/>
  <c r="M767" i="34"/>
  <c r="I767" i="34"/>
  <c r="N767" i="34"/>
  <c r="S767" i="34"/>
  <c r="S766" i="34"/>
  <c r="M765" i="34"/>
  <c r="I765" i="34"/>
  <c r="N765" i="34"/>
  <c r="S765" i="34"/>
  <c r="M764" i="34"/>
  <c r="I764" i="34"/>
  <c r="N764" i="34"/>
  <c r="S764" i="34"/>
  <c r="M763" i="34"/>
  <c r="I763" i="34"/>
  <c r="N763" i="34"/>
  <c r="S763" i="34"/>
  <c r="M762" i="34"/>
  <c r="I762" i="34"/>
  <c r="N762" i="34"/>
  <c r="S762" i="34"/>
  <c r="M761" i="34"/>
  <c r="I761" i="34"/>
  <c r="N761" i="34"/>
  <c r="S761" i="34"/>
  <c r="M760" i="34"/>
  <c r="I760" i="34"/>
  <c r="N760" i="34"/>
  <c r="S760" i="34"/>
  <c r="S759" i="34"/>
  <c r="M758" i="34"/>
  <c r="I758" i="34"/>
  <c r="N758" i="34"/>
  <c r="S758" i="34"/>
  <c r="M757" i="34"/>
  <c r="I757" i="34"/>
  <c r="N757" i="34"/>
  <c r="S757" i="34"/>
  <c r="S756" i="34"/>
  <c r="M755" i="34"/>
  <c r="I755" i="34"/>
  <c r="N755" i="34"/>
  <c r="S755" i="34"/>
  <c r="M754" i="34"/>
  <c r="I754" i="34"/>
  <c r="N754" i="34"/>
  <c r="S754" i="34"/>
  <c r="S753" i="34"/>
  <c r="M752" i="34"/>
  <c r="I752" i="34"/>
  <c r="N752" i="34"/>
  <c r="S752" i="34"/>
  <c r="M751" i="34"/>
  <c r="I751" i="34"/>
  <c r="N751" i="34"/>
  <c r="S751" i="34"/>
  <c r="S750" i="34"/>
  <c r="S749" i="34"/>
  <c r="S748" i="34"/>
  <c r="M747" i="34"/>
  <c r="I747" i="34"/>
  <c r="N747" i="34"/>
  <c r="S747" i="34"/>
  <c r="M746" i="34"/>
  <c r="I746" i="34"/>
  <c r="N746" i="34"/>
  <c r="S746" i="34"/>
  <c r="M745" i="34"/>
  <c r="I745" i="34"/>
  <c r="N745" i="34"/>
  <c r="S745" i="34"/>
  <c r="S744" i="34"/>
  <c r="M743" i="34"/>
  <c r="I743" i="34"/>
  <c r="N743" i="34"/>
  <c r="S743" i="34"/>
  <c r="M742" i="34"/>
  <c r="I742" i="34"/>
  <c r="N742" i="34"/>
  <c r="S742" i="34"/>
  <c r="M741" i="34"/>
  <c r="I741" i="34"/>
  <c r="N741" i="34"/>
  <c r="S741" i="34"/>
  <c r="M740" i="34"/>
  <c r="I740" i="34"/>
  <c r="N740" i="34"/>
  <c r="S740" i="34"/>
  <c r="M739" i="34"/>
  <c r="I739" i="34"/>
  <c r="N739" i="34"/>
  <c r="S739" i="34"/>
  <c r="S738" i="34"/>
  <c r="M737" i="34"/>
  <c r="I737" i="34"/>
  <c r="N737" i="34"/>
  <c r="S737" i="34"/>
  <c r="M736" i="34"/>
  <c r="I736" i="34"/>
  <c r="N736" i="34"/>
  <c r="S736" i="34"/>
  <c r="S735" i="34"/>
  <c r="M734" i="34"/>
  <c r="I734" i="34"/>
  <c r="N734" i="34"/>
  <c r="S734" i="34"/>
  <c r="S733" i="34"/>
  <c r="M732" i="34"/>
  <c r="I732" i="34"/>
  <c r="N732" i="34"/>
  <c r="S732" i="34"/>
  <c r="M731" i="34"/>
  <c r="I731" i="34"/>
  <c r="N731" i="34"/>
  <c r="S731" i="34"/>
  <c r="M730" i="34"/>
  <c r="I730" i="34"/>
  <c r="N730" i="34"/>
  <c r="S730" i="34"/>
  <c r="S729" i="34"/>
  <c r="M728" i="34"/>
  <c r="I728" i="34"/>
  <c r="N728" i="34"/>
  <c r="S728" i="34"/>
  <c r="S727" i="34"/>
  <c r="M726" i="34"/>
  <c r="I726" i="34"/>
  <c r="N726" i="34"/>
  <c r="S726" i="34"/>
  <c r="M725" i="34"/>
  <c r="I725" i="34"/>
  <c r="N725" i="34"/>
  <c r="S725" i="34"/>
  <c r="S724" i="34"/>
  <c r="M723" i="34"/>
  <c r="I723" i="34"/>
  <c r="N723" i="34"/>
  <c r="S723" i="34"/>
  <c r="M722" i="34"/>
  <c r="I722" i="34"/>
  <c r="N722" i="34"/>
  <c r="S722" i="34"/>
  <c r="M721" i="34"/>
  <c r="I721" i="34"/>
  <c r="N721" i="34"/>
  <c r="S721" i="34"/>
  <c r="M720" i="34"/>
  <c r="I720" i="34"/>
  <c r="N720" i="34"/>
  <c r="S720" i="34"/>
  <c r="M719" i="34"/>
  <c r="I719" i="34"/>
  <c r="N719" i="34"/>
  <c r="S719" i="34"/>
  <c r="M718" i="34"/>
  <c r="I718" i="34"/>
  <c r="N718" i="34"/>
  <c r="S718" i="34"/>
  <c r="M717" i="34"/>
  <c r="I717" i="34"/>
  <c r="N717" i="34"/>
  <c r="S717" i="34"/>
  <c r="S716" i="34"/>
  <c r="M715" i="34"/>
  <c r="I715" i="34"/>
  <c r="N715" i="34"/>
  <c r="S715" i="34"/>
  <c r="S714" i="34"/>
  <c r="M713" i="34"/>
  <c r="I713" i="34"/>
  <c r="N713" i="34"/>
  <c r="S713" i="34"/>
  <c r="M712" i="34"/>
  <c r="I712" i="34"/>
  <c r="N712" i="34"/>
  <c r="S712" i="34"/>
  <c r="M711" i="34"/>
  <c r="I711" i="34"/>
  <c r="N711" i="34"/>
  <c r="S711" i="34"/>
  <c r="S710" i="34"/>
  <c r="M709" i="34"/>
  <c r="I709" i="34"/>
  <c r="N709" i="34"/>
  <c r="S709" i="34"/>
  <c r="S708" i="34"/>
  <c r="M707" i="34"/>
  <c r="I707" i="34"/>
  <c r="N707" i="34"/>
  <c r="S707" i="34"/>
  <c r="M706" i="34"/>
  <c r="I706" i="34"/>
  <c r="N706" i="34"/>
  <c r="S706" i="34"/>
  <c r="M705" i="34"/>
  <c r="I705" i="34"/>
  <c r="N705" i="34"/>
  <c r="S705" i="34"/>
  <c r="M704" i="34"/>
  <c r="I704" i="34"/>
  <c r="N704" i="34"/>
  <c r="S704" i="34"/>
  <c r="S703" i="34"/>
  <c r="M702" i="34"/>
  <c r="I702" i="34"/>
  <c r="N702" i="34"/>
  <c r="S702" i="34"/>
  <c r="M701" i="34"/>
  <c r="I701" i="34"/>
  <c r="N701" i="34"/>
  <c r="S701" i="34"/>
  <c r="M700" i="34"/>
  <c r="I700" i="34"/>
  <c r="N700" i="34"/>
  <c r="S700" i="34"/>
  <c r="M699" i="34"/>
  <c r="I699" i="34"/>
  <c r="N699" i="34"/>
  <c r="S699" i="34"/>
  <c r="M698" i="34"/>
  <c r="I698" i="34"/>
  <c r="N698" i="34"/>
  <c r="S698" i="34"/>
  <c r="M697" i="34"/>
  <c r="I697" i="34"/>
  <c r="N697" i="34"/>
  <c r="S697" i="34"/>
  <c r="M696" i="34"/>
  <c r="I696" i="34"/>
  <c r="N696" i="34"/>
  <c r="S696" i="34"/>
  <c r="M695" i="34"/>
  <c r="I695" i="34"/>
  <c r="N695" i="34"/>
  <c r="S695" i="34"/>
  <c r="M694" i="34"/>
  <c r="I694" i="34"/>
  <c r="N694" i="34"/>
  <c r="S694" i="34"/>
  <c r="M693" i="34"/>
  <c r="I693" i="34"/>
  <c r="N693" i="34"/>
  <c r="S693" i="34"/>
  <c r="S692" i="34"/>
  <c r="M691" i="34"/>
  <c r="I691" i="34"/>
  <c r="N691" i="34"/>
  <c r="S691" i="34"/>
  <c r="M690" i="34"/>
  <c r="I690" i="34"/>
  <c r="N690" i="34"/>
  <c r="S690" i="34"/>
  <c r="M689" i="34"/>
  <c r="I689" i="34"/>
  <c r="N689" i="34"/>
  <c r="S689" i="34"/>
  <c r="M688" i="34"/>
  <c r="I688" i="34"/>
  <c r="N688" i="34"/>
  <c r="S688" i="34"/>
  <c r="M687" i="34"/>
  <c r="I687" i="34"/>
  <c r="N687" i="34"/>
  <c r="S687" i="34"/>
  <c r="M686" i="34"/>
  <c r="I686" i="34"/>
  <c r="N686" i="34"/>
  <c r="S686" i="34"/>
  <c r="M685" i="34"/>
  <c r="I685" i="34"/>
  <c r="N685" i="34"/>
  <c r="S685" i="34"/>
  <c r="M684" i="34"/>
  <c r="I684" i="34"/>
  <c r="N684" i="34"/>
  <c r="S684" i="34"/>
  <c r="M683" i="34"/>
  <c r="I683" i="34"/>
  <c r="N683" i="34"/>
  <c r="S683" i="34"/>
  <c r="M682" i="34"/>
  <c r="I682" i="34"/>
  <c r="N682" i="34"/>
  <c r="S682" i="34"/>
  <c r="S681" i="34"/>
  <c r="M680" i="34"/>
  <c r="I680" i="34"/>
  <c r="N680" i="34"/>
  <c r="S680" i="34"/>
  <c r="M679" i="34"/>
  <c r="I679" i="34"/>
  <c r="N679" i="34"/>
  <c r="S679" i="34"/>
  <c r="S678" i="34"/>
  <c r="M677" i="34"/>
  <c r="I677" i="34"/>
  <c r="N677" i="34"/>
  <c r="S677" i="34"/>
  <c r="S676" i="34"/>
  <c r="M675" i="34"/>
  <c r="I675" i="34"/>
  <c r="N675" i="34"/>
  <c r="S675" i="34"/>
  <c r="M674" i="34"/>
  <c r="I674" i="34"/>
  <c r="N674" i="34"/>
  <c r="S674" i="34"/>
  <c r="S673" i="34"/>
  <c r="M672" i="34"/>
  <c r="I672" i="34"/>
  <c r="N672" i="34"/>
  <c r="S672" i="34"/>
  <c r="M671" i="34"/>
  <c r="I671" i="34"/>
  <c r="N671" i="34"/>
  <c r="S671" i="34"/>
  <c r="S670" i="34"/>
  <c r="M669" i="34"/>
  <c r="I669" i="34"/>
  <c r="N669" i="34"/>
  <c r="S669" i="34"/>
  <c r="S668" i="34"/>
  <c r="M667" i="34"/>
  <c r="I667" i="34"/>
  <c r="N667" i="34"/>
  <c r="S667" i="34"/>
  <c r="M666" i="34"/>
  <c r="I666" i="34"/>
  <c r="N666" i="34"/>
  <c r="S666" i="34"/>
  <c r="S665" i="34"/>
  <c r="M664" i="34"/>
  <c r="I664" i="34"/>
  <c r="N664" i="34"/>
  <c r="S664" i="34"/>
  <c r="M663" i="34"/>
  <c r="I663" i="34"/>
  <c r="N663" i="34"/>
  <c r="S663" i="34"/>
  <c r="M662" i="34"/>
  <c r="I662" i="34"/>
  <c r="N662" i="34"/>
  <c r="S662" i="34"/>
  <c r="M661" i="34"/>
  <c r="I661" i="34"/>
  <c r="N661" i="34"/>
  <c r="S661" i="34"/>
  <c r="S660" i="34"/>
  <c r="M659" i="34"/>
  <c r="I659" i="34"/>
  <c r="N659" i="34"/>
  <c r="S659" i="34"/>
  <c r="S658" i="34"/>
  <c r="M657" i="34"/>
  <c r="I657" i="34"/>
  <c r="N657" i="34"/>
  <c r="S657" i="34"/>
  <c r="S656" i="34"/>
  <c r="M655" i="34"/>
  <c r="I655" i="34"/>
  <c r="N655" i="34"/>
  <c r="S655" i="34"/>
  <c r="S654" i="34"/>
  <c r="M653" i="34"/>
  <c r="I653" i="34"/>
  <c r="N653" i="34"/>
  <c r="S653" i="34"/>
  <c r="M652" i="34"/>
  <c r="I652" i="34"/>
  <c r="N652" i="34"/>
  <c r="S652" i="34"/>
  <c r="M651" i="34"/>
  <c r="I651" i="34"/>
  <c r="N651" i="34"/>
  <c r="S651" i="34"/>
  <c r="M650" i="34"/>
  <c r="I650" i="34"/>
  <c r="N650" i="34"/>
  <c r="S650" i="34"/>
  <c r="M649" i="34"/>
  <c r="I649" i="34"/>
  <c r="N649" i="34"/>
  <c r="S649" i="34"/>
  <c r="M648" i="34"/>
  <c r="I648" i="34"/>
  <c r="N648" i="34"/>
  <c r="S648" i="34"/>
  <c r="S647" i="34"/>
  <c r="S646" i="34"/>
  <c r="M645" i="34"/>
  <c r="I645" i="34"/>
  <c r="N645" i="34"/>
  <c r="S645" i="34"/>
  <c r="M644" i="34"/>
  <c r="I644" i="34"/>
  <c r="N644" i="34"/>
  <c r="S644" i="34"/>
  <c r="M643" i="34"/>
  <c r="I643" i="34"/>
  <c r="N643" i="34"/>
  <c r="S643" i="34"/>
  <c r="M642" i="34"/>
  <c r="I642" i="34"/>
  <c r="N642" i="34"/>
  <c r="S642" i="34"/>
  <c r="M641" i="34"/>
  <c r="I641" i="34"/>
  <c r="N641" i="34"/>
  <c r="S641" i="34"/>
  <c r="M640" i="34"/>
  <c r="I640" i="34"/>
  <c r="N640" i="34"/>
  <c r="S640" i="34"/>
  <c r="S639" i="34"/>
  <c r="M638" i="34"/>
  <c r="I638" i="34"/>
  <c r="N638" i="34"/>
  <c r="S638" i="34"/>
  <c r="M637" i="34"/>
  <c r="I637" i="34"/>
  <c r="N637" i="34"/>
  <c r="S637" i="34"/>
  <c r="M636" i="34"/>
  <c r="I636" i="34"/>
  <c r="N636" i="34"/>
  <c r="S636" i="34"/>
  <c r="M635" i="34"/>
  <c r="I635" i="34"/>
  <c r="N635" i="34"/>
  <c r="S635" i="34"/>
  <c r="M634" i="34"/>
  <c r="I634" i="34"/>
  <c r="N634" i="34"/>
  <c r="S634" i="34"/>
  <c r="M633" i="34"/>
  <c r="I633" i="34"/>
  <c r="N633" i="34"/>
  <c r="S633" i="34"/>
  <c r="S632" i="34"/>
  <c r="M631" i="34"/>
  <c r="I631" i="34"/>
  <c r="N631" i="34"/>
  <c r="S631" i="34"/>
  <c r="S630" i="34"/>
  <c r="M629" i="34"/>
  <c r="I629" i="34"/>
  <c r="N629" i="34"/>
  <c r="S629" i="34"/>
  <c r="M628" i="34"/>
  <c r="I628" i="34"/>
  <c r="N628" i="34"/>
  <c r="S628" i="34"/>
  <c r="S627" i="34"/>
  <c r="M626" i="34"/>
  <c r="I626" i="34"/>
  <c r="N626" i="34"/>
  <c r="S626" i="34"/>
  <c r="M625" i="34"/>
  <c r="I625" i="34"/>
  <c r="N625" i="34"/>
  <c r="S625" i="34"/>
  <c r="M624" i="34"/>
  <c r="I624" i="34"/>
  <c r="N624" i="34"/>
  <c r="S624" i="34"/>
  <c r="S623" i="34"/>
  <c r="M622" i="34"/>
  <c r="I622" i="34"/>
  <c r="N622" i="34"/>
  <c r="S622" i="34"/>
  <c r="M621" i="34"/>
  <c r="I621" i="34"/>
  <c r="N621" i="34"/>
  <c r="S621" i="34"/>
  <c r="M620" i="34"/>
  <c r="I620" i="34"/>
  <c r="N620" i="34"/>
  <c r="S620" i="34"/>
  <c r="S619" i="34"/>
  <c r="M618" i="34"/>
  <c r="I618" i="34"/>
  <c r="N618" i="34"/>
  <c r="S618" i="34"/>
  <c r="M617" i="34"/>
  <c r="I617" i="34"/>
  <c r="N617" i="34"/>
  <c r="S617" i="34"/>
  <c r="M616" i="34"/>
  <c r="I616" i="34"/>
  <c r="N616" i="34"/>
  <c r="S616" i="34"/>
  <c r="S615" i="34"/>
  <c r="S614" i="34"/>
  <c r="M613" i="34"/>
  <c r="I613" i="34"/>
  <c r="N613" i="34"/>
  <c r="S613" i="34"/>
  <c r="S612" i="34"/>
  <c r="M611" i="34"/>
  <c r="I611" i="34"/>
  <c r="N611" i="34"/>
  <c r="S611" i="34"/>
  <c r="M610" i="34"/>
  <c r="I610" i="34"/>
  <c r="N610" i="34"/>
  <c r="S610" i="34"/>
  <c r="M609" i="34"/>
  <c r="I609" i="34"/>
  <c r="N609" i="34"/>
  <c r="S609" i="34"/>
  <c r="M608" i="34"/>
  <c r="I608" i="34"/>
  <c r="N608" i="34"/>
  <c r="S608" i="34"/>
  <c r="S607" i="34"/>
  <c r="M606" i="34"/>
  <c r="I606" i="34"/>
  <c r="N606" i="34"/>
  <c r="S606" i="34"/>
  <c r="M605" i="34"/>
  <c r="I605" i="34"/>
  <c r="N605" i="34"/>
  <c r="S605" i="34"/>
  <c r="M604" i="34"/>
  <c r="I604" i="34"/>
  <c r="N604" i="34"/>
  <c r="S604" i="34"/>
  <c r="M603" i="34"/>
  <c r="I603" i="34"/>
  <c r="N603" i="34"/>
  <c r="S603" i="34"/>
  <c r="S602" i="34"/>
  <c r="M601" i="34"/>
  <c r="I601" i="34"/>
  <c r="N601" i="34"/>
  <c r="S601" i="34"/>
  <c r="M600" i="34"/>
  <c r="I600" i="34"/>
  <c r="N600" i="34"/>
  <c r="S600" i="34"/>
  <c r="S599" i="34"/>
  <c r="S598" i="34"/>
  <c r="M597" i="34"/>
  <c r="I597" i="34"/>
  <c r="N597" i="34"/>
  <c r="S597" i="34"/>
  <c r="S596" i="34"/>
  <c r="M595" i="34"/>
  <c r="I595" i="34"/>
  <c r="N595" i="34"/>
  <c r="S595" i="34"/>
  <c r="M594" i="34"/>
  <c r="I594" i="34"/>
  <c r="N594" i="34"/>
  <c r="S594" i="34"/>
  <c r="M593" i="34"/>
  <c r="I593" i="34"/>
  <c r="N593" i="34"/>
  <c r="S593" i="34"/>
  <c r="M592" i="34"/>
  <c r="I592" i="34"/>
  <c r="N592" i="34"/>
  <c r="S592" i="34"/>
  <c r="S591" i="34"/>
  <c r="M590" i="34"/>
  <c r="I590" i="34"/>
  <c r="N590" i="34"/>
  <c r="S590" i="34"/>
  <c r="M589" i="34"/>
  <c r="I589" i="34"/>
  <c r="N589" i="34"/>
  <c r="S589" i="34"/>
  <c r="M588" i="34"/>
  <c r="I588" i="34"/>
  <c r="N588" i="34"/>
  <c r="S588" i="34"/>
  <c r="S587" i="34"/>
  <c r="M586" i="34"/>
  <c r="I586" i="34"/>
  <c r="N586" i="34"/>
  <c r="S586" i="34"/>
  <c r="M585" i="34"/>
  <c r="I585" i="34"/>
  <c r="N585" i="34"/>
  <c r="S585" i="34"/>
  <c r="M584" i="34"/>
  <c r="I584" i="34"/>
  <c r="N584" i="34"/>
  <c r="S584" i="34"/>
  <c r="M583" i="34"/>
  <c r="I583" i="34"/>
  <c r="N583" i="34"/>
  <c r="S583" i="34"/>
  <c r="M582" i="34"/>
  <c r="I582" i="34"/>
  <c r="N582" i="34"/>
  <c r="S582" i="34"/>
  <c r="M581" i="34"/>
  <c r="I581" i="34"/>
  <c r="N581" i="34"/>
  <c r="S581" i="34"/>
  <c r="M580" i="34"/>
  <c r="I580" i="34"/>
  <c r="N580" i="34"/>
  <c r="S580" i="34"/>
  <c r="M579" i="34"/>
  <c r="I579" i="34"/>
  <c r="N579" i="34"/>
  <c r="S579" i="34"/>
  <c r="M578" i="34"/>
  <c r="I578" i="34"/>
  <c r="N578" i="34"/>
  <c r="S578" i="34"/>
  <c r="M577" i="34"/>
  <c r="I577" i="34"/>
  <c r="N577" i="34"/>
  <c r="S577" i="34"/>
  <c r="M576" i="34"/>
  <c r="I576" i="34"/>
  <c r="N576" i="34"/>
  <c r="S576" i="34"/>
  <c r="S575" i="34"/>
  <c r="M574" i="34"/>
  <c r="I574" i="34"/>
  <c r="N574" i="34"/>
  <c r="S574" i="34"/>
  <c r="M573" i="34"/>
  <c r="I573" i="34"/>
  <c r="N573" i="34"/>
  <c r="S573" i="34"/>
  <c r="S572" i="34"/>
  <c r="M571" i="34"/>
  <c r="I571" i="34"/>
  <c r="N571" i="34"/>
  <c r="S571" i="34"/>
  <c r="S570" i="34"/>
  <c r="M569" i="34"/>
  <c r="I569" i="34"/>
  <c r="N569" i="34"/>
  <c r="S569" i="34"/>
  <c r="S568" i="34"/>
  <c r="M567" i="34"/>
  <c r="I567" i="34"/>
  <c r="N567" i="34"/>
  <c r="S567" i="34"/>
  <c r="M566" i="34"/>
  <c r="I566" i="34"/>
  <c r="N566" i="34"/>
  <c r="S566" i="34"/>
  <c r="M565" i="34"/>
  <c r="I565" i="34"/>
  <c r="N565" i="34"/>
  <c r="S565" i="34"/>
  <c r="M564" i="34"/>
  <c r="I564" i="34"/>
  <c r="N564" i="34"/>
  <c r="S564" i="34"/>
  <c r="M563" i="34"/>
  <c r="I563" i="34"/>
  <c r="N563" i="34"/>
  <c r="S563" i="34"/>
  <c r="M562" i="34"/>
  <c r="I562" i="34"/>
  <c r="N562" i="34"/>
  <c r="S562" i="34"/>
  <c r="M561" i="34"/>
  <c r="I561" i="34"/>
  <c r="N561" i="34"/>
  <c r="S561" i="34"/>
  <c r="M560" i="34"/>
  <c r="I560" i="34"/>
  <c r="N560" i="34"/>
  <c r="S560" i="34"/>
  <c r="M559" i="34"/>
  <c r="I559" i="34"/>
  <c r="N559" i="34"/>
  <c r="S559" i="34"/>
  <c r="S558" i="34"/>
  <c r="M557" i="34"/>
  <c r="I557" i="34"/>
  <c r="N557" i="34"/>
  <c r="S557" i="34"/>
  <c r="M556" i="34"/>
  <c r="I556" i="34"/>
  <c r="N556" i="34"/>
  <c r="S556" i="34"/>
  <c r="M555" i="34"/>
  <c r="I555" i="34"/>
  <c r="N555" i="34"/>
  <c r="S555" i="34"/>
  <c r="M554" i="34"/>
  <c r="I554" i="34"/>
  <c r="N554" i="34"/>
  <c r="S554" i="34"/>
  <c r="M553" i="34"/>
  <c r="I553" i="34"/>
  <c r="N553" i="34"/>
  <c r="S553" i="34"/>
  <c r="S552" i="34"/>
  <c r="M551" i="34"/>
  <c r="I551" i="34"/>
  <c r="N551" i="34"/>
  <c r="S551" i="34"/>
  <c r="M550" i="34"/>
  <c r="I550" i="34"/>
  <c r="N550" i="34"/>
  <c r="S550" i="34"/>
  <c r="M549" i="34"/>
  <c r="I549" i="34"/>
  <c r="N549" i="34"/>
  <c r="S549" i="34"/>
  <c r="M548" i="34"/>
  <c r="I548" i="34"/>
  <c r="N548" i="34"/>
  <c r="S548" i="34"/>
  <c r="S547" i="34"/>
  <c r="S546" i="34"/>
  <c r="M545" i="34"/>
  <c r="I545" i="34"/>
  <c r="N545" i="34"/>
  <c r="S545" i="34"/>
  <c r="M544" i="34"/>
  <c r="I544" i="34"/>
  <c r="N544" i="34"/>
  <c r="S544" i="34"/>
  <c r="M543" i="34"/>
  <c r="I543" i="34"/>
  <c r="N543" i="34"/>
  <c r="S543" i="34"/>
  <c r="S542" i="34"/>
  <c r="M541" i="34"/>
  <c r="I541" i="34"/>
  <c r="N541" i="34"/>
  <c r="S541" i="34"/>
  <c r="S540" i="34"/>
  <c r="M539" i="34"/>
  <c r="I539" i="34"/>
  <c r="N539" i="34"/>
  <c r="S539" i="34"/>
  <c r="M538" i="34"/>
  <c r="I538" i="34"/>
  <c r="N538" i="34"/>
  <c r="S538" i="34"/>
  <c r="M537" i="34"/>
  <c r="I537" i="34"/>
  <c r="N537" i="34"/>
  <c r="S537" i="34"/>
  <c r="M536" i="34"/>
  <c r="I536" i="34"/>
  <c r="N536" i="34"/>
  <c r="S536" i="34"/>
  <c r="M535" i="34"/>
  <c r="I535" i="34"/>
  <c r="N535" i="34"/>
  <c r="S535" i="34"/>
  <c r="S534" i="34"/>
  <c r="M533" i="34"/>
  <c r="I533" i="34"/>
  <c r="N533" i="34"/>
  <c r="S533" i="34"/>
  <c r="M532" i="34"/>
  <c r="I532" i="34"/>
  <c r="N532" i="34"/>
  <c r="S532" i="34"/>
  <c r="M531" i="34"/>
  <c r="I531" i="34"/>
  <c r="N531" i="34"/>
  <c r="S531" i="34"/>
  <c r="M530" i="34"/>
  <c r="I530" i="34"/>
  <c r="N530" i="34"/>
  <c r="S530" i="34"/>
  <c r="S529" i="34"/>
  <c r="S528" i="34"/>
  <c r="M527" i="34"/>
  <c r="I527" i="34"/>
  <c r="N527" i="34"/>
  <c r="S527" i="34"/>
  <c r="M526" i="34"/>
  <c r="I526" i="34"/>
  <c r="N526" i="34"/>
  <c r="S526" i="34"/>
  <c r="M525" i="34"/>
  <c r="I525" i="34"/>
  <c r="N525" i="34"/>
  <c r="S525" i="34"/>
  <c r="S524" i="34"/>
  <c r="M523" i="34"/>
  <c r="I523" i="34"/>
  <c r="N523" i="34"/>
  <c r="S523" i="34"/>
  <c r="S522" i="34"/>
  <c r="M521" i="34"/>
  <c r="I521" i="34"/>
  <c r="N521" i="34"/>
  <c r="S521" i="34"/>
  <c r="S520" i="34"/>
  <c r="M519" i="34"/>
  <c r="I519" i="34"/>
  <c r="N519" i="34"/>
  <c r="S519" i="34"/>
  <c r="M518" i="34"/>
  <c r="I518" i="34"/>
  <c r="N518" i="34"/>
  <c r="S518" i="34"/>
  <c r="S517" i="34"/>
  <c r="M516" i="34"/>
  <c r="I516" i="34"/>
  <c r="N516" i="34"/>
  <c r="S516" i="34"/>
  <c r="S515" i="34"/>
  <c r="M514" i="34"/>
  <c r="I514" i="34"/>
  <c r="N514" i="34"/>
  <c r="S514" i="34"/>
  <c r="M513" i="34"/>
  <c r="I513" i="34"/>
  <c r="N513" i="34"/>
  <c r="S513" i="34"/>
  <c r="S512" i="34"/>
  <c r="M511" i="34"/>
  <c r="I511" i="34"/>
  <c r="N511" i="34"/>
  <c r="S511" i="34"/>
  <c r="S510" i="34"/>
  <c r="S509" i="34"/>
  <c r="M508" i="34"/>
  <c r="I508" i="34"/>
  <c r="N508" i="34"/>
  <c r="S508" i="34"/>
  <c r="M507" i="34"/>
  <c r="I507" i="34"/>
  <c r="N507" i="34"/>
  <c r="S507" i="34"/>
  <c r="M506" i="34"/>
  <c r="I506" i="34"/>
  <c r="N506" i="34"/>
  <c r="S506" i="34"/>
  <c r="S505" i="34"/>
  <c r="M504" i="34"/>
  <c r="I504" i="34"/>
  <c r="N504" i="34"/>
  <c r="S504" i="34"/>
  <c r="S503" i="34"/>
  <c r="M502" i="34"/>
  <c r="I502" i="34"/>
  <c r="N502" i="34"/>
  <c r="S502" i="34"/>
  <c r="M501" i="34"/>
  <c r="I501" i="34"/>
  <c r="N501" i="34"/>
  <c r="S501" i="34"/>
  <c r="M500" i="34"/>
  <c r="I500" i="34"/>
  <c r="N500" i="34"/>
  <c r="S500" i="34"/>
  <c r="M499" i="34"/>
  <c r="I499" i="34"/>
  <c r="N499" i="34"/>
  <c r="S499" i="34"/>
  <c r="M498" i="34"/>
  <c r="I498" i="34"/>
  <c r="N498" i="34"/>
  <c r="S498" i="34"/>
  <c r="M497" i="34"/>
  <c r="I497" i="34"/>
  <c r="N497" i="34"/>
  <c r="S497" i="34"/>
  <c r="M496" i="34"/>
  <c r="I496" i="34"/>
  <c r="N496" i="34"/>
  <c r="S496" i="34"/>
  <c r="S495" i="34"/>
  <c r="S494" i="34"/>
  <c r="M493" i="34"/>
  <c r="I493" i="34"/>
  <c r="N493" i="34"/>
  <c r="S493" i="34"/>
  <c r="S492" i="34"/>
  <c r="M491" i="34"/>
  <c r="I491" i="34"/>
  <c r="N491" i="34"/>
  <c r="S491" i="34"/>
  <c r="M490" i="34"/>
  <c r="I490" i="34"/>
  <c r="N490" i="34"/>
  <c r="S490" i="34"/>
  <c r="M489" i="34"/>
  <c r="I489" i="34"/>
  <c r="N489" i="34"/>
  <c r="S489" i="34"/>
  <c r="S488" i="34"/>
  <c r="M487" i="34"/>
  <c r="I487" i="34"/>
  <c r="N487" i="34"/>
  <c r="S487" i="34"/>
  <c r="M486" i="34"/>
  <c r="I486" i="34"/>
  <c r="N486" i="34"/>
  <c r="S486" i="34"/>
  <c r="M485" i="34"/>
  <c r="I485" i="34"/>
  <c r="N485" i="34"/>
  <c r="S485" i="34"/>
  <c r="M484" i="34"/>
  <c r="I484" i="34"/>
  <c r="N484" i="34"/>
  <c r="S484" i="34"/>
  <c r="S483" i="34"/>
  <c r="M482" i="34"/>
  <c r="I482" i="34"/>
  <c r="N482" i="34"/>
  <c r="S482" i="34"/>
  <c r="M481" i="34"/>
  <c r="I481" i="34"/>
  <c r="N481" i="34"/>
  <c r="S481" i="34"/>
  <c r="M480" i="34"/>
  <c r="I480" i="34"/>
  <c r="N480" i="34"/>
  <c r="S480" i="34"/>
  <c r="M479" i="34"/>
  <c r="I479" i="34"/>
  <c r="N479" i="34"/>
  <c r="S479" i="34"/>
  <c r="S478" i="34"/>
  <c r="M477" i="34"/>
  <c r="I477" i="34"/>
  <c r="N477" i="34"/>
  <c r="S477" i="34"/>
  <c r="S476" i="34"/>
  <c r="M475" i="34"/>
  <c r="I475" i="34"/>
  <c r="N475" i="34"/>
  <c r="S475" i="34"/>
  <c r="S474" i="34"/>
  <c r="M473" i="34"/>
  <c r="I473" i="34"/>
  <c r="N473" i="34"/>
  <c r="S473" i="34"/>
  <c r="M472" i="34"/>
  <c r="I472" i="34"/>
  <c r="N472" i="34"/>
  <c r="S472" i="34"/>
  <c r="S471" i="34"/>
  <c r="M470" i="34"/>
  <c r="I470" i="34"/>
  <c r="N470" i="34"/>
  <c r="S470" i="34"/>
  <c r="M469" i="34"/>
  <c r="I469" i="34"/>
  <c r="N469" i="34"/>
  <c r="S469" i="34"/>
  <c r="S468" i="34"/>
  <c r="M467" i="34"/>
  <c r="I467" i="34"/>
  <c r="N467" i="34"/>
  <c r="S467" i="34"/>
  <c r="M466" i="34"/>
  <c r="I466" i="34"/>
  <c r="N466" i="34"/>
  <c r="S466" i="34"/>
  <c r="S465" i="34"/>
  <c r="S464" i="34"/>
  <c r="M463" i="34"/>
  <c r="I463" i="34"/>
  <c r="N463" i="34"/>
  <c r="S463" i="34"/>
  <c r="S462" i="34"/>
  <c r="M461" i="34"/>
  <c r="I461" i="34"/>
  <c r="N461" i="34"/>
  <c r="S461" i="34"/>
  <c r="M460" i="34"/>
  <c r="I460" i="34"/>
  <c r="N460" i="34"/>
  <c r="S460" i="34"/>
  <c r="M459" i="34"/>
  <c r="I459" i="34"/>
  <c r="N459" i="34"/>
  <c r="S459" i="34"/>
  <c r="S458" i="34"/>
  <c r="M457" i="34"/>
  <c r="I457" i="34"/>
  <c r="N457" i="34"/>
  <c r="S457" i="34"/>
  <c r="M456" i="34"/>
  <c r="I456" i="34"/>
  <c r="N456" i="34"/>
  <c r="S456" i="34"/>
  <c r="M455" i="34"/>
  <c r="I455" i="34"/>
  <c r="N455" i="34"/>
  <c r="S455" i="34"/>
  <c r="M454" i="34"/>
  <c r="I454" i="34"/>
  <c r="N454" i="34"/>
  <c r="S454" i="34"/>
  <c r="M453" i="34"/>
  <c r="I453" i="34"/>
  <c r="N453" i="34"/>
  <c r="S453" i="34"/>
  <c r="S452" i="34"/>
  <c r="M451" i="34"/>
  <c r="I451" i="34"/>
  <c r="N451" i="34"/>
  <c r="S451" i="34"/>
  <c r="S450" i="34"/>
  <c r="M449" i="34"/>
  <c r="I449" i="34"/>
  <c r="N449" i="34"/>
  <c r="S449" i="34"/>
  <c r="S448" i="34"/>
  <c r="M447" i="34"/>
  <c r="I447" i="34"/>
  <c r="N447" i="34"/>
  <c r="S447" i="34"/>
  <c r="S446" i="34"/>
  <c r="M445" i="34"/>
  <c r="I445" i="34"/>
  <c r="N445" i="34"/>
  <c r="S445" i="34"/>
  <c r="M444" i="34"/>
  <c r="I444" i="34"/>
  <c r="N444" i="34"/>
  <c r="S444" i="34"/>
  <c r="M443" i="34"/>
  <c r="I443" i="34"/>
  <c r="N443" i="34"/>
  <c r="S443" i="34"/>
  <c r="S442" i="34"/>
  <c r="M441" i="34"/>
  <c r="I441" i="34"/>
  <c r="N441" i="34"/>
  <c r="S441" i="34"/>
  <c r="M440" i="34"/>
  <c r="I440" i="34"/>
  <c r="N440" i="34"/>
  <c r="S440" i="34"/>
  <c r="S439" i="34"/>
  <c r="M438" i="34"/>
  <c r="I438" i="34"/>
  <c r="N438" i="34"/>
  <c r="S438" i="34"/>
  <c r="M437" i="34"/>
  <c r="I437" i="34"/>
  <c r="N437" i="34"/>
  <c r="S437" i="34"/>
  <c r="M436" i="34"/>
  <c r="I436" i="34"/>
  <c r="N436" i="34"/>
  <c r="S436" i="34"/>
  <c r="S435" i="34"/>
  <c r="M434" i="34"/>
  <c r="I434" i="34"/>
  <c r="N434" i="34"/>
  <c r="S434" i="34"/>
  <c r="M433" i="34"/>
  <c r="I433" i="34"/>
  <c r="N433" i="34"/>
  <c r="S433" i="34"/>
  <c r="M432" i="34"/>
  <c r="I432" i="34"/>
  <c r="N432" i="34"/>
  <c r="S432" i="34"/>
  <c r="M431" i="34"/>
  <c r="I431" i="34"/>
  <c r="N431" i="34"/>
  <c r="S431" i="34"/>
  <c r="M430" i="34"/>
  <c r="I430" i="34"/>
  <c r="N430" i="34"/>
  <c r="S430" i="34"/>
  <c r="S429" i="34"/>
  <c r="M428" i="34"/>
  <c r="I428" i="34"/>
  <c r="N428" i="34"/>
  <c r="S428" i="34"/>
  <c r="M427" i="34"/>
  <c r="I427" i="34"/>
  <c r="N427" i="34"/>
  <c r="S427" i="34"/>
  <c r="M426" i="34"/>
  <c r="I426" i="34"/>
  <c r="N426" i="34"/>
  <c r="S426" i="34"/>
  <c r="M425" i="34"/>
  <c r="I425" i="34"/>
  <c r="N425" i="34"/>
  <c r="S425" i="34"/>
  <c r="M424" i="34"/>
  <c r="I424" i="34"/>
  <c r="N424" i="34"/>
  <c r="S424" i="34"/>
  <c r="M423" i="34"/>
  <c r="I423" i="34"/>
  <c r="N423" i="34"/>
  <c r="S423" i="34"/>
  <c r="M422" i="34"/>
  <c r="I422" i="34"/>
  <c r="N422" i="34"/>
  <c r="S422" i="34"/>
  <c r="M421" i="34"/>
  <c r="I421" i="34"/>
  <c r="N421" i="34"/>
  <c r="S421" i="34"/>
  <c r="M420" i="34"/>
  <c r="I420" i="34"/>
  <c r="N420" i="34"/>
  <c r="S420" i="34"/>
  <c r="S419" i="34"/>
  <c r="M418" i="34"/>
  <c r="I418" i="34"/>
  <c r="N418" i="34"/>
  <c r="S418" i="34"/>
  <c r="M417" i="34"/>
  <c r="I417" i="34"/>
  <c r="N417" i="34"/>
  <c r="S417" i="34"/>
  <c r="M416" i="34"/>
  <c r="I416" i="34"/>
  <c r="N416" i="34"/>
  <c r="S416" i="34"/>
  <c r="M415" i="34"/>
  <c r="I415" i="34"/>
  <c r="N415" i="34"/>
  <c r="S415" i="34"/>
  <c r="S414" i="34"/>
  <c r="M413" i="34"/>
  <c r="I413" i="34"/>
  <c r="N413" i="34"/>
  <c r="S413" i="34"/>
  <c r="M412" i="34"/>
  <c r="I412" i="34"/>
  <c r="N412" i="34"/>
  <c r="S412" i="34"/>
  <c r="M411" i="34"/>
  <c r="I411" i="34"/>
  <c r="N411" i="34"/>
  <c r="S411" i="34"/>
  <c r="M410" i="34"/>
  <c r="I410" i="34"/>
  <c r="N410" i="34"/>
  <c r="S410" i="34"/>
  <c r="S409" i="34"/>
  <c r="M408" i="34"/>
  <c r="I408" i="34"/>
  <c r="N408" i="34"/>
  <c r="S408" i="34"/>
  <c r="M407" i="34"/>
  <c r="I407" i="34"/>
  <c r="N407" i="34"/>
  <c r="S407" i="34"/>
  <c r="M406" i="34"/>
  <c r="I406" i="34"/>
  <c r="N406" i="34"/>
  <c r="S406" i="34"/>
  <c r="M405" i="34"/>
  <c r="I405" i="34"/>
  <c r="N405" i="34"/>
  <c r="S405" i="34"/>
  <c r="M404" i="34"/>
  <c r="I404" i="34"/>
  <c r="N404" i="34"/>
  <c r="S404" i="34"/>
  <c r="S403" i="34"/>
  <c r="M402" i="34"/>
  <c r="I402" i="34"/>
  <c r="N402" i="34"/>
  <c r="S402" i="34"/>
  <c r="S401" i="34"/>
  <c r="M400" i="34"/>
  <c r="I400" i="34"/>
  <c r="N400" i="34"/>
  <c r="S400" i="34"/>
  <c r="M399" i="34"/>
  <c r="I399" i="34"/>
  <c r="N399" i="34"/>
  <c r="S399" i="34"/>
  <c r="M398" i="34"/>
  <c r="I398" i="34"/>
  <c r="N398" i="34"/>
  <c r="S398" i="34"/>
  <c r="S397" i="34"/>
  <c r="M396" i="34"/>
  <c r="I396" i="34"/>
  <c r="N396" i="34"/>
  <c r="S396" i="34"/>
  <c r="M395" i="34"/>
  <c r="I395" i="34"/>
  <c r="N395" i="34"/>
  <c r="S395" i="34"/>
  <c r="M394" i="34"/>
  <c r="I394" i="34"/>
  <c r="N394" i="34"/>
  <c r="S394" i="34"/>
  <c r="M393" i="34"/>
  <c r="I393" i="34"/>
  <c r="N393" i="34"/>
  <c r="S393" i="34"/>
  <c r="S392" i="34"/>
  <c r="M391" i="34"/>
  <c r="I391" i="34"/>
  <c r="N391" i="34"/>
  <c r="S391" i="34"/>
  <c r="M390" i="34"/>
  <c r="I390" i="34"/>
  <c r="N390" i="34"/>
  <c r="S390" i="34"/>
  <c r="M389" i="34"/>
  <c r="I389" i="34"/>
  <c r="N389" i="34"/>
  <c r="S389" i="34"/>
  <c r="M388" i="34"/>
  <c r="I388" i="34"/>
  <c r="N388" i="34"/>
  <c r="S388" i="34"/>
  <c r="M387" i="34"/>
  <c r="I387" i="34"/>
  <c r="N387" i="34"/>
  <c r="S387" i="34"/>
  <c r="S386" i="34"/>
  <c r="M385" i="34"/>
  <c r="I385" i="34"/>
  <c r="N385" i="34"/>
  <c r="S385" i="34"/>
  <c r="M384" i="34"/>
  <c r="I384" i="34"/>
  <c r="N384" i="34"/>
  <c r="S384" i="34"/>
  <c r="S383" i="34"/>
  <c r="M382" i="34"/>
  <c r="I382" i="34"/>
  <c r="N382" i="34"/>
  <c r="S382" i="34"/>
  <c r="M381" i="34"/>
  <c r="I381" i="34"/>
  <c r="N381" i="34"/>
  <c r="S381" i="34"/>
  <c r="S380" i="34"/>
  <c r="S379" i="34"/>
  <c r="M378" i="34"/>
  <c r="I378" i="34"/>
  <c r="N378" i="34"/>
  <c r="S378" i="34"/>
  <c r="M377" i="34"/>
  <c r="I377" i="34"/>
  <c r="N377" i="34"/>
  <c r="S377" i="34"/>
  <c r="S376" i="34"/>
  <c r="M375" i="34"/>
  <c r="I375" i="34"/>
  <c r="N375" i="34"/>
  <c r="S375" i="34"/>
  <c r="M374" i="34"/>
  <c r="I374" i="34"/>
  <c r="N374" i="34"/>
  <c r="S374" i="34"/>
  <c r="M373" i="34"/>
  <c r="I373" i="34"/>
  <c r="N373" i="34"/>
  <c r="S373" i="34"/>
  <c r="M372" i="34"/>
  <c r="I372" i="34"/>
  <c r="N372" i="34"/>
  <c r="S372" i="34"/>
  <c r="M371" i="34"/>
  <c r="I371" i="34"/>
  <c r="N371" i="34"/>
  <c r="S371" i="34"/>
  <c r="S370" i="34"/>
  <c r="M369" i="34"/>
  <c r="I369" i="34"/>
  <c r="N369" i="34"/>
  <c r="S369" i="34"/>
  <c r="M368" i="34"/>
  <c r="I368" i="34"/>
  <c r="N368" i="34"/>
  <c r="S368" i="34"/>
  <c r="M367" i="34"/>
  <c r="I367" i="34"/>
  <c r="N367" i="34"/>
  <c r="S367" i="34"/>
  <c r="S366" i="34"/>
  <c r="M365" i="34"/>
  <c r="I365" i="34"/>
  <c r="N365" i="34"/>
  <c r="S365" i="34"/>
  <c r="M364" i="34"/>
  <c r="I364" i="34"/>
  <c r="N364" i="34"/>
  <c r="S364" i="34"/>
  <c r="M363" i="34"/>
  <c r="I363" i="34"/>
  <c r="N363" i="34"/>
  <c r="S363" i="34"/>
  <c r="M362" i="34"/>
  <c r="I362" i="34"/>
  <c r="N362" i="34"/>
  <c r="S362" i="34"/>
  <c r="S361" i="34"/>
  <c r="M360" i="34"/>
  <c r="I360" i="34"/>
  <c r="N360" i="34"/>
  <c r="S360" i="34"/>
  <c r="M359" i="34"/>
  <c r="I359" i="34"/>
  <c r="N359" i="34"/>
  <c r="S359" i="34"/>
  <c r="M358" i="34"/>
  <c r="I358" i="34"/>
  <c r="N358" i="34"/>
  <c r="S358" i="34"/>
  <c r="M357" i="34"/>
  <c r="I357" i="34"/>
  <c r="N357" i="34"/>
  <c r="S357" i="34"/>
  <c r="M356" i="34"/>
  <c r="I356" i="34"/>
  <c r="N356" i="34"/>
  <c r="S356" i="34"/>
  <c r="M355" i="34"/>
  <c r="I355" i="34"/>
  <c r="N355" i="34"/>
  <c r="S355" i="34"/>
  <c r="S354" i="34"/>
  <c r="M353" i="34"/>
  <c r="I353" i="34"/>
  <c r="N353" i="34"/>
  <c r="S353" i="34"/>
  <c r="M352" i="34"/>
  <c r="I352" i="34"/>
  <c r="N352" i="34"/>
  <c r="S352" i="34"/>
  <c r="S351" i="34"/>
  <c r="S350" i="34"/>
  <c r="S349" i="34"/>
  <c r="M348" i="34"/>
  <c r="I348" i="34"/>
  <c r="N348" i="34"/>
  <c r="S348" i="34"/>
  <c r="S347" i="34"/>
  <c r="M346" i="34"/>
  <c r="I346" i="34"/>
  <c r="N346" i="34"/>
  <c r="S346" i="34"/>
  <c r="S345" i="34"/>
  <c r="M344" i="34"/>
  <c r="I344" i="34"/>
  <c r="N344" i="34"/>
  <c r="S344" i="34"/>
  <c r="S343" i="34"/>
  <c r="M342" i="34"/>
  <c r="I342" i="34"/>
  <c r="N342" i="34"/>
  <c r="S342" i="34"/>
  <c r="M341" i="34"/>
  <c r="I341" i="34"/>
  <c r="N341" i="34"/>
  <c r="S341" i="34"/>
  <c r="M340" i="34"/>
  <c r="I340" i="34"/>
  <c r="N340" i="34"/>
  <c r="S340" i="34"/>
  <c r="S339" i="34"/>
  <c r="M338" i="34"/>
  <c r="I338" i="34"/>
  <c r="N338" i="34"/>
  <c r="S338" i="34"/>
  <c r="M337" i="34"/>
  <c r="I337" i="34"/>
  <c r="N337" i="34"/>
  <c r="S337" i="34"/>
  <c r="M336" i="34"/>
  <c r="I336" i="34"/>
  <c r="N336" i="34"/>
  <c r="S336" i="34"/>
  <c r="M335" i="34"/>
  <c r="I335" i="34"/>
  <c r="N335" i="34"/>
  <c r="S335" i="34"/>
  <c r="M334" i="34"/>
  <c r="I334" i="34"/>
  <c r="N334" i="34"/>
  <c r="S334" i="34"/>
  <c r="S333" i="34"/>
  <c r="M332" i="34"/>
  <c r="I332" i="34"/>
  <c r="N332" i="34"/>
  <c r="S332" i="34"/>
  <c r="M331" i="34"/>
  <c r="I331" i="34"/>
  <c r="N331" i="34"/>
  <c r="S331" i="34"/>
  <c r="S330" i="34"/>
  <c r="S329" i="34"/>
  <c r="M328" i="34"/>
  <c r="I328" i="34"/>
  <c r="N328" i="34"/>
  <c r="S328" i="34"/>
  <c r="M327" i="34"/>
  <c r="I327" i="34"/>
  <c r="N327" i="34"/>
  <c r="S327" i="34"/>
  <c r="S326" i="34"/>
  <c r="M325" i="34"/>
  <c r="I325" i="34"/>
  <c r="N325" i="34"/>
  <c r="S325" i="34"/>
  <c r="S324" i="34"/>
  <c r="M323" i="34"/>
  <c r="I323" i="34"/>
  <c r="N323" i="34"/>
  <c r="S323" i="34"/>
  <c r="M322" i="34"/>
  <c r="I322" i="34"/>
  <c r="N322" i="34"/>
  <c r="S322" i="34"/>
  <c r="M321" i="34"/>
  <c r="I321" i="34"/>
  <c r="N321" i="34"/>
  <c r="S321" i="34"/>
  <c r="S320" i="34"/>
  <c r="M319" i="34"/>
  <c r="I319" i="34"/>
  <c r="N319" i="34"/>
  <c r="S319" i="34"/>
  <c r="S318" i="34"/>
  <c r="M317" i="34"/>
  <c r="I317" i="34"/>
  <c r="N317" i="34"/>
  <c r="S317" i="34"/>
  <c r="S316" i="34"/>
  <c r="S315" i="34"/>
  <c r="M314" i="34"/>
  <c r="I314" i="34"/>
  <c r="N314" i="34"/>
  <c r="S314" i="34"/>
  <c r="S313" i="34"/>
  <c r="M312" i="34"/>
  <c r="I312" i="34"/>
  <c r="N312" i="34"/>
  <c r="S312" i="34"/>
  <c r="M311" i="34"/>
  <c r="I311" i="34"/>
  <c r="N311" i="34"/>
  <c r="S311" i="34"/>
  <c r="M310" i="34"/>
  <c r="I310" i="34"/>
  <c r="N310" i="34"/>
  <c r="S310" i="34"/>
  <c r="M309" i="34"/>
  <c r="I309" i="34"/>
  <c r="N309" i="34"/>
  <c r="S309" i="34"/>
  <c r="M308" i="34"/>
  <c r="I308" i="34"/>
  <c r="N308" i="34"/>
  <c r="S308" i="34"/>
  <c r="M307" i="34"/>
  <c r="I307" i="34"/>
  <c r="N307" i="34"/>
  <c r="S307" i="34"/>
  <c r="S306" i="34"/>
  <c r="M305" i="34"/>
  <c r="I305" i="34"/>
  <c r="N305" i="34"/>
  <c r="S305" i="34"/>
  <c r="M304" i="34"/>
  <c r="I304" i="34"/>
  <c r="N304" i="34"/>
  <c r="S304" i="34"/>
  <c r="M303" i="34"/>
  <c r="I303" i="34"/>
  <c r="N303" i="34"/>
  <c r="S303" i="34"/>
  <c r="S302" i="34"/>
  <c r="M301" i="34"/>
  <c r="I301" i="34"/>
  <c r="N301" i="34"/>
  <c r="S301" i="34"/>
  <c r="S300" i="34"/>
  <c r="M299" i="34"/>
  <c r="I299" i="34"/>
  <c r="N299" i="34"/>
  <c r="S299" i="34"/>
  <c r="S298" i="34"/>
  <c r="M297" i="34"/>
  <c r="I297" i="34"/>
  <c r="N297" i="34"/>
  <c r="S297" i="34"/>
  <c r="M296" i="34"/>
  <c r="I296" i="34"/>
  <c r="N296" i="34"/>
  <c r="S296" i="34"/>
  <c r="M295" i="34"/>
  <c r="I295" i="34"/>
  <c r="N295" i="34"/>
  <c r="S295" i="34"/>
  <c r="M294" i="34"/>
  <c r="I294" i="34"/>
  <c r="N294" i="34"/>
  <c r="S294" i="34"/>
  <c r="M293" i="34"/>
  <c r="I293" i="34"/>
  <c r="N293" i="34"/>
  <c r="S293" i="34"/>
  <c r="S292" i="34"/>
  <c r="M291" i="34"/>
  <c r="I291" i="34"/>
  <c r="N291" i="34"/>
  <c r="S291" i="34"/>
  <c r="M290" i="34"/>
  <c r="I290" i="34"/>
  <c r="N290" i="34"/>
  <c r="S290" i="34"/>
  <c r="S289" i="34"/>
  <c r="M288" i="34"/>
  <c r="I288" i="34"/>
  <c r="N288" i="34"/>
  <c r="S288" i="34"/>
  <c r="S287" i="34"/>
  <c r="M286" i="34"/>
  <c r="I286" i="34"/>
  <c r="N286" i="34"/>
  <c r="S286" i="34"/>
  <c r="M285" i="34"/>
  <c r="I285" i="34"/>
  <c r="N285" i="34"/>
  <c r="S285" i="34"/>
  <c r="S284" i="34"/>
  <c r="M283" i="34"/>
  <c r="I283" i="34"/>
  <c r="N283" i="34"/>
  <c r="S283" i="34"/>
  <c r="M282" i="34"/>
  <c r="I282" i="34"/>
  <c r="N282" i="34"/>
  <c r="S282" i="34"/>
  <c r="S281" i="34"/>
  <c r="M280" i="34"/>
  <c r="I280" i="34"/>
  <c r="N280" i="34"/>
  <c r="S280" i="34"/>
  <c r="M279" i="34"/>
  <c r="I279" i="34"/>
  <c r="N279" i="34"/>
  <c r="S279" i="34"/>
  <c r="M278" i="34"/>
  <c r="I278" i="34"/>
  <c r="N278" i="34"/>
  <c r="S278" i="34"/>
  <c r="M277" i="34"/>
  <c r="I277" i="34"/>
  <c r="N277" i="34"/>
  <c r="S277" i="34"/>
  <c r="S276" i="34"/>
  <c r="M275" i="34"/>
  <c r="I275" i="34"/>
  <c r="N275" i="34"/>
  <c r="S275" i="34"/>
  <c r="M274" i="34"/>
  <c r="I274" i="34"/>
  <c r="N274" i="34"/>
  <c r="S274" i="34"/>
  <c r="S273" i="34"/>
  <c r="S272" i="34"/>
  <c r="M271" i="34"/>
  <c r="I271" i="34"/>
  <c r="N271" i="34"/>
  <c r="S271" i="34"/>
  <c r="M270" i="34"/>
  <c r="I270" i="34"/>
  <c r="N270" i="34"/>
  <c r="S270" i="34"/>
  <c r="S269" i="34"/>
  <c r="M268" i="34"/>
  <c r="I268" i="34"/>
  <c r="N268" i="34"/>
  <c r="S268" i="34"/>
  <c r="M267" i="34"/>
  <c r="I267" i="34"/>
  <c r="N267" i="34"/>
  <c r="S267" i="34"/>
  <c r="M266" i="34"/>
  <c r="I266" i="34"/>
  <c r="N266" i="34"/>
  <c r="S266" i="34"/>
  <c r="M265" i="34"/>
  <c r="I265" i="34"/>
  <c r="N265" i="34"/>
  <c r="S265" i="34"/>
  <c r="M264" i="34"/>
  <c r="I264" i="34"/>
  <c r="N264" i="34"/>
  <c r="S264" i="34"/>
  <c r="S263" i="34"/>
  <c r="M262" i="34"/>
  <c r="I262" i="34"/>
  <c r="N262" i="34"/>
  <c r="S262" i="34"/>
  <c r="M261" i="34"/>
  <c r="I261" i="34"/>
  <c r="N261" i="34"/>
  <c r="S261" i="34"/>
  <c r="M260" i="34"/>
  <c r="I260" i="34"/>
  <c r="N260" i="34"/>
  <c r="S260" i="34"/>
  <c r="M259" i="34"/>
  <c r="I259" i="34"/>
  <c r="N259" i="34"/>
  <c r="S259" i="34"/>
  <c r="S258" i="34"/>
  <c r="S257" i="34"/>
  <c r="S256" i="34"/>
  <c r="M255" i="34"/>
  <c r="I255" i="34"/>
  <c r="N255" i="34"/>
  <c r="S255" i="34"/>
  <c r="M254" i="34"/>
  <c r="I254" i="34"/>
  <c r="N254" i="34"/>
  <c r="S254" i="34"/>
  <c r="M253" i="34"/>
  <c r="I253" i="34"/>
  <c r="N253" i="34"/>
  <c r="S253" i="34"/>
  <c r="M252" i="34"/>
  <c r="I252" i="34"/>
  <c r="N252" i="34"/>
  <c r="S252" i="34"/>
  <c r="S251" i="34"/>
  <c r="M250" i="34"/>
  <c r="I250" i="34"/>
  <c r="N250" i="34"/>
  <c r="S250" i="34"/>
  <c r="M249" i="34"/>
  <c r="I249" i="34"/>
  <c r="N249" i="34"/>
  <c r="S249" i="34"/>
  <c r="M248" i="34"/>
  <c r="I248" i="34"/>
  <c r="N248" i="34"/>
  <c r="S248" i="34"/>
  <c r="S247" i="34"/>
  <c r="M246" i="34"/>
  <c r="I246" i="34"/>
  <c r="N246" i="34"/>
  <c r="S246" i="34"/>
  <c r="S245" i="34"/>
  <c r="M244" i="34"/>
  <c r="I244" i="34"/>
  <c r="N244" i="34"/>
  <c r="S244" i="34"/>
  <c r="S243" i="34"/>
  <c r="M242" i="34"/>
  <c r="I242" i="34"/>
  <c r="N242" i="34"/>
  <c r="S242" i="34"/>
  <c r="M241" i="34"/>
  <c r="I241" i="34"/>
  <c r="N241" i="34"/>
  <c r="S241" i="34"/>
  <c r="M240" i="34"/>
  <c r="I240" i="34"/>
  <c r="N240" i="34"/>
  <c r="S240" i="34"/>
  <c r="S239" i="34"/>
  <c r="M238" i="34"/>
  <c r="I238" i="34"/>
  <c r="N238" i="34"/>
  <c r="S238" i="34"/>
  <c r="M237" i="34"/>
  <c r="I237" i="34"/>
  <c r="N237" i="34"/>
  <c r="S237" i="34"/>
  <c r="M236" i="34"/>
  <c r="I236" i="34"/>
  <c r="N236" i="34"/>
  <c r="S236" i="34"/>
  <c r="S235" i="34"/>
  <c r="M234" i="34"/>
  <c r="I234" i="34"/>
  <c r="N234" i="34"/>
  <c r="S234" i="34"/>
  <c r="M233" i="34"/>
  <c r="I233" i="34"/>
  <c r="N233" i="34"/>
  <c r="S233" i="34"/>
  <c r="M232" i="34"/>
  <c r="I232" i="34"/>
  <c r="N232" i="34"/>
  <c r="S232" i="34"/>
  <c r="M231" i="34"/>
  <c r="I231" i="34"/>
  <c r="N231" i="34"/>
  <c r="S231" i="34"/>
  <c r="M230" i="34"/>
  <c r="I230" i="34"/>
  <c r="N230" i="34"/>
  <c r="S230" i="34"/>
  <c r="S229" i="34"/>
  <c r="M228" i="34"/>
  <c r="I228" i="34"/>
  <c r="N228" i="34"/>
  <c r="S228" i="34"/>
  <c r="M227" i="34"/>
  <c r="I227" i="34"/>
  <c r="N227" i="34"/>
  <c r="S227" i="34"/>
  <c r="M226" i="34"/>
  <c r="I226" i="34"/>
  <c r="N226" i="34"/>
  <c r="S226" i="34"/>
  <c r="M225" i="34"/>
  <c r="I225" i="34"/>
  <c r="N225" i="34"/>
  <c r="S225" i="34"/>
  <c r="M224" i="34"/>
  <c r="I224" i="34"/>
  <c r="N224" i="34"/>
  <c r="S224" i="34"/>
  <c r="S223" i="34"/>
  <c r="M222" i="34"/>
  <c r="I222" i="34"/>
  <c r="N222" i="34"/>
  <c r="S222" i="34"/>
  <c r="M221" i="34"/>
  <c r="I221" i="34"/>
  <c r="N221" i="34"/>
  <c r="S221" i="34"/>
  <c r="M220" i="34"/>
  <c r="I220" i="34"/>
  <c r="N220" i="34"/>
  <c r="S220" i="34"/>
  <c r="M219" i="34"/>
  <c r="I219" i="34"/>
  <c r="N219" i="34"/>
  <c r="S219" i="34"/>
  <c r="M218" i="34"/>
  <c r="I218" i="34"/>
  <c r="N218" i="34"/>
  <c r="S218" i="34"/>
  <c r="M217" i="34"/>
  <c r="I217" i="34"/>
  <c r="N217" i="34"/>
  <c r="S217" i="34"/>
  <c r="M216" i="34"/>
  <c r="I216" i="34"/>
  <c r="N216" i="34"/>
  <c r="S216" i="34"/>
  <c r="M215" i="34"/>
  <c r="I215" i="34"/>
  <c r="N215" i="34"/>
  <c r="S215" i="34"/>
  <c r="M214" i="34"/>
  <c r="I214" i="34"/>
  <c r="N214" i="34"/>
  <c r="S214" i="34"/>
  <c r="M213" i="34"/>
  <c r="I213" i="34"/>
  <c r="N213" i="34"/>
  <c r="S213" i="34"/>
  <c r="S212" i="34"/>
  <c r="S211" i="34"/>
  <c r="M210" i="34"/>
  <c r="I210" i="34"/>
  <c r="N210" i="34"/>
  <c r="S210" i="34"/>
  <c r="M209" i="34"/>
  <c r="I209" i="34"/>
  <c r="N209" i="34"/>
  <c r="S209" i="34"/>
  <c r="M208" i="34"/>
  <c r="I208" i="34"/>
  <c r="N208" i="34"/>
  <c r="S208" i="34"/>
  <c r="S207" i="34"/>
  <c r="M206" i="34"/>
  <c r="I206" i="34"/>
  <c r="N206" i="34"/>
  <c r="S206" i="34"/>
  <c r="M205" i="34"/>
  <c r="I205" i="34"/>
  <c r="N205" i="34"/>
  <c r="S205" i="34"/>
  <c r="M204" i="34"/>
  <c r="I204" i="34"/>
  <c r="N204" i="34"/>
  <c r="S204" i="34"/>
  <c r="M203" i="34"/>
  <c r="I203" i="34"/>
  <c r="N203" i="34"/>
  <c r="S203" i="34"/>
  <c r="S202" i="34"/>
  <c r="M201" i="34"/>
  <c r="I201" i="34"/>
  <c r="N201" i="34"/>
  <c r="S201" i="34"/>
  <c r="M200" i="34"/>
  <c r="I200" i="34"/>
  <c r="N200" i="34"/>
  <c r="S200" i="34"/>
  <c r="M199" i="34"/>
  <c r="I199" i="34"/>
  <c r="N199" i="34"/>
  <c r="S199" i="34"/>
  <c r="M198" i="34"/>
  <c r="I198" i="34"/>
  <c r="N198" i="34"/>
  <c r="S198" i="34"/>
  <c r="M197" i="34"/>
  <c r="I197" i="34"/>
  <c r="N197" i="34"/>
  <c r="S197" i="34"/>
  <c r="M196" i="34"/>
  <c r="I196" i="34"/>
  <c r="N196" i="34"/>
  <c r="S196" i="34"/>
  <c r="M195" i="34"/>
  <c r="I195" i="34"/>
  <c r="N195" i="34"/>
  <c r="S195" i="34"/>
  <c r="S194" i="34"/>
  <c r="M193" i="34"/>
  <c r="I193" i="34"/>
  <c r="N193" i="34"/>
  <c r="S193" i="34"/>
  <c r="S192" i="34"/>
  <c r="S191" i="34"/>
  <c r="M190" i="34"/>
  <c r="I190" i="34"/>
  <c r="N190" i="34"/>
  <c r="S190" i="34"/>
  <c r="M189" i="34"/>
  <c r="I189" i="34"/>
  <c r="N189" i="34"/>
  <c r="S189" i="34"/>
  <c r="M188" i="34"/>
  <c r="I188" i="34"/>
  <c r="N188" i="34"/>
  <c r="S188" i="34"/>
  <c r="S187" i="34"/>
  <c r="M186" i="34"/>
  <c r="I186" i="34"/>
  <c r="N186" i="34"/>
  <c r="S186" i="34"/>
  <c r="M185" i="34"/>
  <c r="I185" i="34"/>
  <c r="N185" i="34"/>
  <c r="S185" i="34"/>
  <c r="M184" i="34"/>
  <c r="I184" i="34"/>
  <c r="N184" i="34"/>
  <c r="S184" i="34"/>
  <c r="M183" i="34"/>
  <c r="I183" i="34"/>
  <c r="N183" i="34"/>
  <c r="S183" i="34"/>
  <c r="S182" i="34"/>
  <c r="M181" i="34"/>
  <c r="I181" i="34"/>
  <c r="N181" i="34"/>
  <c r="S181" i="34"/>
  <c r="M180" i="34"/>
  <c r="I180" i="34"/>
  <c r="N180" i="34"/>
  <c r="S180" i="34"/>
  <c r="M179" i="34"/>
  <c r="I179" i="34"/>
  <c r="N179" i="34"/>
  <c r="S179" i="34"/>
  <c r="M178" i="34"/>
  <c r="I178" i="34"/>
  <c r="N178" i="34"/>
  <c r="S178" i="34"/>
  <c r="M177" i="34"/>
  <c r="I177" i="34"/>
  <c r="N177" i="34"/>
  <c r="S177" i="34"/>
  <c r="M176" i="34"/>
  <c r="I176" i="34"/>
  <c r="N176" i="34"/>
  <c r="S176" i="34"/>
  <c r="S175" i="34"/>
  <c r="M174" i="34"/>
  <c r="I174" i="34"/>
  <c r="N174" i="34"/>
  <c r="S174" i="34"/>
  <c r="M173" i="34"/>
  <c r="I173" i="34"/>
  <c r="N173" i="34"/>
  <c r="S173" i="34"/>
  <c r="M172" i="34"/>
  <c r="I172" i="34"/>
  <c r="N172" i="34"/>
  <c r="S172" i="34"/>
  <c r="M171" i="34"/>
  <c r="I171" i="34"/>
  <c r="N171" i="34"/>
  <c r="S171" i="34"/>
  <c r="M170" i="34"/>
  <c r="I170" i="34"/>
  <c r="N170" i="34"/>
  <c r="S170" i="34"/>
  <c r="M169" i="34"/>
  <c r="I169" i="34"/>
  <c r="N169" i="34"/>
  <c r="S169" i="34"/>
  <c r="M168" i="34"/>
  <c r="I168" i="34"/>
  <c r="N168" i="34"/>
  <c r="S168" i="34"/>
  <c r="M167" i="34"/>
  <c r="I167" i="34"/>
  <c r="N167" i="34"/>
  <c r="S167" i="34"/>
  <c r="M166" i="34"/>
  <c r="I166" i="34"/>
  <c r="N166" i="34"/>
  <c r="S166" i="34"/>
  <c r="M165" i="34"/>
  <c r="I165" i="34"/>
  <c r="N165" i="34"/>
  <c r="S165" i="34"/>
  <c r="S164" i="34"/>
  <c r="M163" i="34"/>
  <c r="I163" i="34"/>
  <c r="N163" i="34"/>
  <c r="S163" i="34"/>
  <c r="M162" i="34"/>
  <c r="I162" i="34"/>
  <c r="N162" i="34"/>
  <c r="S162" i="34"/>
  <c r="M161" i="34"/>
  <c r="I161" i="34"/>
  <c r="N161" i="34"/>
  <c r="S161" i="34"/>
  <c r="S160" i="34"/>
  <c r="M159" i="34"/>
  <c r="I159" i="34"/>
  <c r="N159" i="34"/>
  <c r="S159" i="34"/>
  <c r="M158" i="34"/>
  <c r="I158" i="34"/>
  <c r="N158" i="34"/>
  <c r="S158" i="34"/>
  <c r="M157" i="34"/>
  <c r="I157" i="34"/>
  <c r="N157" i="34"/>
  <c r="S157" i="34"/>
  <c r="M156" i="34"/>
  <c r="I156" i="34"/>
  <c r="N156" i="34"/>
  <c r="S156" i="34"/>
  <c r="M155" i="34"/>
  <c r="I155" i="34"/>
  <c r="N155" i="34"/>
  <c r="S155" i="34"/>
  <c r="S154" i="34"/>
  <c r="M153" i="34"/>
  <c r="I153" i="34"/>
  <c r="N153" i="34"/>
  <c r="S153" i="34"/>
  <c r="M152" i="34"/>
  <c r="I152" i="34"/>
  <c r="N152" i="34"/>
  <c r="S152" i="34"/>
  <c r="M151" i="34"/>
  <c r="I151" i="34"/>
  <c r="N151" i="34"/>
  <c r="S151" i="34"/>
  <c r="M150" i="34"/>
  <c r="I150" i="34"/>
  <c r="N150" i="34"/>
  <c r="S150" i="34"/>
  <c r="S149" i="34"/>
  <c r="M148" i="34"/>
  <c r="I148" i="34"/>
  <c r="N148" i="34"/>
  <c r="S148" i="34"/>
  <c r="M147" i="34"/>
  <c r="I147" i="34"/>
  <c r="N147" i="34"/>
  <c r="S147" i="34"/>
  <c r="M146" i="34"/>
  <c r="I146" i="34"/>
  <c r="N146" i="34"/>
  <c r="S146" i="34"/>
  <c r="S145" i="34"/>
  <c r="M144" i="34"/>
  <c r="I144" i="34"/>
  <c r="N144" i="34"/>
  <c r="S144" i="34"/>
  <c r="M143" i="34"/>
  <c r="I143" i="34"/>
  <c r="N143" i="34"/>
  <c r="S143" i="34"/>
  <c r="M142" i="34"/>
  <c r="I142" i="34"/>
  <c r="N142" i="34"/>
  <c r="S142" i="34"/>
  <c r="M141" i="34"/>
  <c r="I141" i="34"/>
  <c r="N141" i="34"/>
  <c r="S141" i="34"/>
  <c r="M140" i="34"/>
  <c r="I140" i="34"/>
  <c r="N140" i="34"/>
  <c r="S140" i="34"/>
  <c r="M139" i="34"/>
  <c r="I139" i="34"/>
  <c r="N139" i="34"/>
  <c r="S139" i="34"/>
  <c r="S138" i="34"/>
  <c r="M137" i="34"/>
  <c r="I137" i="34"/>
  <c r="N137" i="34"/>
  <c r="S137" i="34"/>
  <c r="M136" i="34"/>
  <c r="I136" i="34"/>
  <c r="N136" i="34"/>
  <c r="S136" i="34"/>
  <c r="M135" i="34"/>
  <c r="I135" i="34"/>
  <c r="N135" i="34"/>
  <c r="S135" i="34"/>
  <c r="M134" i="34"/>
  <c r="I134" i="34"/>
  <c r="N134" i="34"/>
  <c r="S134" i="34"/>
  <c r="M133" i="34"/>
  <c r="I133" i="34"/>
  <c r="N133" i="34"/>
  <c r="S133" i="34"/>
  <c r="S132" i="34"/>
  <c r="M131" i="34"/>
  <c r="I131" i="34"/>
  <c r="N131" i="34"/>
  <c r="S131" i="34"/>
  <c r="S130" i="34"/>
  <c r="M129" i="34"/>
  <c r="I129" i="34"/>
  <c r="N129" i="34"/>
  <c r="S129" i="34"/>
  <c r="M128" i="34"/>
  <c r="I128" i="34"/>
  <c r="N128" i="34"/>
  <c r="S128" i="34"/>
  <c r="M127" i="34"/>
  <c r="I127" i="34"/>
  <c r="N127" i="34"/>
  <c r="S127" i="34"/>
  <c r="M126" i="34"/>
  <c r="I126" i="34"/>
  <c r="N126" i="34"/>
  <c r="S126" i="34"/>
  <c r="M125" i="34"/>
  <c r="I125" i="34"/>
  <c r="N125" i="34"/>
  <c r="S125" i="34"/>
  <c r="M124" i="34"/>
  <c r="I124" i="34"/>
  <c r="N124" i="34"/>
  <c r="S124" i="34"/>
  <c r="M123" i="34"/>
  <c r="I123" i="34"/>
  <c r="N123" i="34"/>
  <c r="S123" i="34"/>
  <c r="M122" i="34"/>
  <c r="I122" i="34"/>
  <c r="N122" i="34"/>
  <c r="S122" i="34"/>
  <c r="S121" i="34"/>
  <c r="M120" i="34"/>
  <c r="I120" i="34"/>
  <c r="N120" i="34"/>
  <c r="S120" i="34"/>
  <c r="M119" i="34"/>
  <c r="I119" i="34"/>
  <c r="N119" i="34"/>
  <c r="S119" i="34"/>
  <c r="S118" i="34"/>
  <c r="M117" i="34"/>
  <c r="I117" i="34"/>
  <c r="N117" i="34"/>
  <c r="S117" i="34"/>
  <c r="M116" i="34"/>
  <c r="I116" i="34"/>
  <c r="N116" i="34"/>
  <c r="S116" i="34"/>
  <c r="M115" i="34"/>
  <c r="I115" i="34"/>
  <c r="N115" i="34"/>
  <c r="S115" i="34"/>
  <c r="M114" i="34"/>
  <c r="I114" i="34"/>
  <c r="N114" i="34"/>
  <c r="S114" i="34"/>
  <c r="M113" i="34"/>
  <c r="I113" i="34"/>
  <c r="N113" i="34"/>
  <c r="S113" i="34"/>
  <c r="S112" i="34"/>
  <c r="S111" i="34"/>
  <c r="M110" i="34"/>
  <c r="I110" i="34"/>
  <c r="N110" i="34"/>
  <c r="S110" i="34"/>
  <c r="M109" i="34"/>
  <c r="I109" i="34"/>
  <c r="N109" i="34"/>
  <c r="S109" i="34"/>
  <c r="M108" i="34"/>
  <c r="I108" i="34"/>
  <c r="N108" i="34"/>
  <c r="S108" i="34"/>
  <c r="S107" i="34"/>
  <c r="M106" i="34"/>
  <c r="I106" i="34"/>
  <c r="N106" i="34"/>
  <c r="S106" i="34"/>
  <c r="M105" i="34"/>
  <c r="I105" i="34"/>
  <c r="N105" i="34"/>
  <c r="S105" i="34"/>
  <c r="M104" i="34"/>
  <c r="I104" i="34"/>
  <c r="N104" i="34"/>
  <c r="S104" i="34"/>
  <c r="M103" i="34"/>
  <c r="I103" i="34"/>
  <c r="N103" i="34"/>
  <c r="S103" i="34"/>
  <c r="M102" i="34"/>
  <c r="I102" i="34"/>
  <c r="N102" i="34"/>
  <c r="S102" i="34"/>
  <c r="M101" i="34"/>
  <c r="I101" i="34"/>
  <c r="N101" i="34"/>
  <c r="S101" i="34"/>
  <c r="S100" i="34"/>
  <c r="M99" i="34"/>
  <c r="I99" i="34"/>
  <c r="N99" i="34"/>
  <c r="S99" i="34"/>
  <c r="S98" i="34"/>
  <c r="M97" i="34"/>
  <c r="I97" i="34"/>
  <c r="N97" i="34"/>
  <c r="S97" i="34"/>
  <c r="M96" i="34"/>
  <c r="I96" i="34"/>
  <c r="N96" i="34"/>
  <c r="S96" i="34"/>
  <c r="S95" i="34"/>
  <c r="S94" i="34"/>
  <c r="M93" i="34"/>
  <c r="I93" i="34"/>
  <c r="N93" i="34"/>
  <c r="S93" i="34"/>
  <c r="M92" i="34"/>
  <c r="I92" i="34"/>
  <c r="N92" i="34"/>
  <c r="S92" i="34"/>
  <c r="M91" i="34"/>
  <c r="I91" i="34"/>
  <c r="N91" i="34"/>
  <c r="S91" i="34"/>
  <c r="M90" i="34"/>
  <c r="I90" i="34"/>
  <c r="N90" i="34"/>
  <c r="S90" i="34"/>
  <c r="S89" i="34"/>
  <c r="M88" i="34"/>
  <c r="I88" i="34"/>
  <c r="N88" i="34"/>
  <c r="S88" i="34"/>
  <c r="M87" i="34"/>
  <c r="I87" i="34"/>
  <c r="N87" i="34"/>
  <c r="S87" i="34"/>
  <c r="M86" i="34"/>
  <c r="I86" i="34"/>
  <c r="N86" i="34"/>
  <c r="S86" i="34"/>
  <c r="M85" i="34"/>
  <c r="I85" i="34"/>
  <c r="N85" i="34"/>
  <c r="S85" i="34"/>
  <c r="M84" i="34"/>
  <c r="I84" i="34"/>
  <c r="N84" i="34"/>
  <c r="S84" i="34"/>
  <c r="S83" i="34"/>
  <c r="M82" i="34"/>
  <c r="I82" i="34"/>
  <c r="N82" i="34"/>
  <c r="S82" i="34"/>
  <c r="M81" i="34"/>
  <c r="I81" i="34"/>
  <c r="N81" i="34"/>
  <c r="S81" i="34"/>
  <c r="M80" i="34"/>
  <c r="I80" i="34"/>
  <c r="N80" i="34"/>
  <c r="S80" i="34"/>
  <c r="M79" i="34"/>
  <c r="I79" i="34"/>
  <c r="N79" i="34"/>
  <c r="S79" i="34"/>
  <c r="M78" i="34"/>
  <c r="I78" i="34"/>
  <c r="N78" i="34"/>
  <c r="S78" i="34"/>
  <c r="M77" i="34"/>
  <c r="I77" i="34"/>
  <c r="N77" i="34"/>
  <c r="S77" i="34"/>
  <c r="M76" i="34"/>
  <c r="I76" i="34"/>
  <c r="N76" i="34"/>
  <c r="S76" i="34"/>
  <c r="S75" i="34"/>
  <c r="M74" i="34"/>
  <c r="I74" i="34"/>
  <c r="N74" i="34"/>
  <c r="S74" i="34"/>
  <c r="S73" i="34"/>
  <c r="M72" i="34"/>
  <c r="I72" i="34"/>
  <c r="N72" i="34"/>
  <c r="S72" i="34"/>
  <c r="M71" i="34"/>
  <c r="I71" i="34"/>
  <c r="N71" i="34"/>
  <c r="S71" i="34"/>
  <c r="M70" i="34"/>
  <c r="I70" i="34"/>
  <c r="N70" i="34"/>
  <c r="S70" i="34"/>
  <c r="M69" i="34"/>
  <c r="I69" i="34"/>
  <c r="N69" i="34"/>
  <c r="S69" i="34"/>
  <c r="M68" i="34"/>
  <c r="I68" i="34"/>
  <c r="N68" i="34"/>
  <c r="S68" i="34"/>
  <c r="M67" i="34"/>
  <c r="I67" i="34"/>
  <c r="N67" i="34"/>
  <c r="S67" i="34"/>
  <c r="M66" i="34"/>
  <c r="I66" i="34"/>
  <c r="N66" i="34"/>
  <c r="S66" i="34"/>
  <c r="M65" i="34"/>
  <c r="I65" i="34"/>
  <c r="N65" i="34"/>
  <c r="S65" i="34"/>
  <c r="S64" i="34"/>
  <c r="M63" i="34"/>
  <c r="I63" i="34"/>
  <c r="N63" i="34"/>
  <c r="S63" i="34"/>
  <c r="M62" i="34"/>
  <c r="I62" i="34"/>
  <c r="N62" i="34"/>
  <c r="S62" i="34"/>
  <c r="M61" i="34"/>
  <c r="I61" i="34"/>
  <c r="N61" i="34"/>
  <c r="S61" i="34"/>
  <c r="S60" i="34"/>
  <c r="M59" i="34"/>
  <c r="I59" i="34"/>
  <c r="N59" i="34"/>
  <c r="S59" i="34"/>
  <c r="S58" i="34"/>
  <c r="M57" i="34"/>
  <c r="I57" i="34"/>
  <c r="N57" i="34"/>
  <c r="S57" i="34"/>
  <c r="S56" i="34"/>
  <c r="M55" i="34"/>
  <c r="I55" i="34"/>
  <c r="N55" i="34"/>
  <c r="S55" i="34"/>
  <c r="M54" i="34"/>
  <c r="I54" i="34"/>
  <c r="N54" i="34"/>
  <c r="S54" i="34"/>
  <c r="S53" i="34"/>
  <c r="M52" i="34"/>
  <c r="I52" i="34"/>
  <c r="N52" i="34"/>
  <c r="S52" i="34"/>
  <c r="M51" i="34"/>
  <c r="I51" i="34"/>
  <c r="N51" i="34"/>
  <c r="S51" i="34"/>
  <c r="S50" i="34"/>
  <c r="S49" i="34"/>
  <c r="M48" i="34"/>
  <c r="I48" i="34"/>
  <c r="N48" i="34"/>
  <c r="S48" i="34"/>
  <c r="M47" i="34"/>
  <c r="I47" i="34"/>
  <c r="N47" i="34"/>
  <c r="S47" i="34"/>
  <c r="S46" i="34"/>
  <c r="M45" i="34"/>
  <c r="I45" i="34"/>
  <c r="N45" i="34"/>
  <c r="S45" i="34"/>
  <c r="S44" i="34"/>
  <c r="M43" i="34"/>
  <c r="I43" i="34"/>
  <c r="N43" i="34"/>
  <c r="S43" i="34"/>
  <c r="M42" i="34"/>
  <c r="I42" i="34"/>
  <c r="N42" i="34"/>
  <c r="S42" i="34"/>
  <c r="S41" i="34"/>
  <c r="R777" i="34"/>
  <c r="R776" i="34"/>
  <c r="R775" i="34"/>
  <c r="R774" i="34"/>
  <c r="R773" i="34"/>
  <c r="R772" i="34"/>
  <c r="R771" i="34"/>
  <c r="R770" i="34"/>
  <c r="R769" i="34"/>
  <c r="R768" i="34"/>
  <c r="R767" i="34"/>
  <c r="R766" i="34"/>
  <c r="R765" i="34"/>
  <c r="R764" i="34"/>
  <c r="R763" i="34"/>
  <c r="R762" i="34"/>
  <c r="R761" i="34"/>
  <c r="R760" i="34"/>
  <c r="R759" i="34"/>
  <c r="R758" i="34"/>
  <c r="R757" i="34"/>
  <c r="R756" i="34"/>
  <c r="R755" i="34"/>
  <c r="R754" i="34"/>
  <c r="R753" i="34"/>
  <c r="R752" i="34"/>
  <c r="R751" i="34"/>
  <c r="R750" i="34"/>
  <c r="R749" i="34"/>
  <c r="R748" i="34"/>
  <c r="R747" i="34"/>
  <c r="R746" i="34"/>
  <c r="R745" i="34"/>
  <c r="R744" i="34"/>
  <c r="R743" i="34"/>
  <c r="R742" i="34"/>
  <c r="R741" i="34"/>
  <c r="R740" i="34"/>
  <c r="R739" i="34"/>
  <c r="R738" i="34"/>
  <c r="R737" i="34"/>
  <c r="R736" i="34"/>
  <c r="R735" i="34"/>
  <c r="R734" i="34"/>
  <c r="R733" i="34"/>
  <c r="R732" i="34"/>
  <c r="R731" i="34"/>
  <c r="R730" i="34"/>
  <c r="R729" i="34"/>
  <c r="R728" i="34"/>
  <c r="R727" i="34"/>
  <c r="R726" i="34"/>
  <c r="R725" i="34"/>
  <c r="R724" i="34"/>
  <c r="R723" i="34"/>
  <c r="R722" i="34"/>
  <c r="R721" i="34"/>
  <c r="R720" i="34"/>
  <c r="R719" i="34"/>
  <c r="R718" i="34"/>
  <c r="R717" i="34"/>
  <c r="R716" i="34"/>
  <c r="R715" i="34"/>
  <c r="R714" i="34"/>
  <c r="R713" i="34"/>
  <c r="R712" i="34"/>
  <c r="R711" i="34"/>
  <c r="R710" i="34"/>
  <c r="R709" i="34"/>
  <c r="R708" i="34"/>
  <c r="R707" i="34"/>
  <c r="R706" i="34"/>
  <c r="R705" i="34"/>
  <c r="R704" i="34"/>
  <c r="R703" i="34"/>
  <c r="R702" i="34"/>
  <c r="R701" i="34"/>
  <c r="R700" i="34"/>
  <c r="R699" i="34"/>
  <c r="R698" i="34"/>
  <c r="R697" i="34"/>
  <c r="R696" i="34"/>
  <c r="R695" i="34"/>
  <c r="R694" i="34"/>
  <c r="R693" i="34"/>
  <c r="R692" i="34"/>
  <c r="R691" i="34"/>
  <c r="R690" i="34"/>
  <c r="R689" i="34"/>
  <c r="R688" i="34"/>
  <c r="R687" i="34"/>
  <c r="R686" i="34"/>
  <c r="R685" i="34"/>
  <c r="R684" i="34"/>
  <c r="R683" i="34"/>
  <c r="R682" i="34"/>
  <c r="R681" i="34"/>
  <c r="R680" i="34"/>
  <c r="R679" i="34"/>
  <c r="R678" i="34"/>
  <c r="R677" i="34"/>
  <c r="R676" i="34"/>
  <c r="R675" i="34"/>
  <c r="R674" i="34"/>
  <c r="R673" i="34"/>
  <c r="R672" i="34"/>
  <c r="R671" i="34"/>
  <c r="R670" i="34"/>
  <c r="R669" i="34"/>
  <c r="R668" i="34"/>
  <c r="R667" i="34"/>
  <c r="R666" i="34"/>
  <c r="R665" i="34"/>
  <c r="R664" i="34"/>
  <c r="R663" i="34"/>
  <c r="R662" i="34"/>
  <c r="R661" i="34"/>
  <c r="R660" i="34"/>
  <c r="R659" i="34"/>
  <c r="R658" i="34"/>
  <c r="R657" i="34"/>
  <c r="R656" i="34"/>
  <c r="R655" i="34"/>
  <c r="R654" i="34"/>
  <c r="R653" i="34"/>
  <c r="R652" i="34"/>
  <c r="R651" i="34"/>
  <c r="R650" i="34"/>
  <c r="R649" i="34"/>
  <c r="R648" i="34"/>
  <c r="R647" i="34"/>
  <c r="R646" i="34"/>
  <c r="R645" i="34"/>
  <c r="R644" i="34"/>
  <c r="R643" i="34"/>
  <c r="R642" i="34"/>
  <c r="R641" i="34"/>
  <c r="R640" i="34"/>
  <c r="R639" i="34"/>
  <c r="R638" i="34"/>
  <c r="R637" i="34"/>
  <c r="R636" i="34"/>
  <c r="R635" i="34"/>
  <c r="R634" i="34"/>
  <c r="R633" i="34"/>
  <c r="R632" i="34"/>
  <c r="R631" i="34"/>
  <c r="R630" i="34"/>
  <c r="R629" i="34"/>
  <c r="R628" i="34"/>
  <c r="R627" i="34"/>
  <c r="R626" i="34"/>
  <c r="R625" i="34"/>
  <c r="R624" i="34"/>
  <c r="R623" i="34"/>
  <c r="R622" i="34"/>
  <c r="R621" i="34"/>
  <c r="R620" i="34"/>
  <c r="R619" i="34"/>
  <c r="R618" i="34"/>
  <c r="R617" i="34"/>
  <c r="R616" i="34"/>
  <c r="R615" i="34"/>
  <c r="R614" i="34"/>
  <c r="R613" i="34"/>
  <c r="R612" i="34"/>
  <c r="R611" i="34"/>
  <c r="R610" i="34"/>
  <c r="R609" i="34"/>
  <c r="R608" i="34"/>
  <c r="R607" i="34"/>
  <c r="R606" i="34"/>
  <c r="R605" i="34"/>
  <c r="R604" i="34"/>
  <c r="R603" i="34"/>
  <c r="R602" i="34"/>
  <c r="R601" i="34"/>
  <c r="R600" i="34"/>
  <c r="R599" i="34"/>
  <c r="R598" i="34"/>
  <c r="R597" i="34"/>
  <c r="R596" i="34"/>
  <c r="R595" i="34"/>
  <c r="R594" i="34"/>
  <c r="R593" i="34"/>
  <c r="R592" i="34"/>
  <c r="R591" i="34"/>
  <c r="R590" i="34"/>
  <c r="R589" i="34"/>
  <c r="R588" i="34"/>
  <c r="R587" i="34"/>
  <c r="R586" i="34"/>
  <c r="R585" i="34"/>
  <c r="R584" i="34"/>
  <c r="R583" i="34"/>
  <c r="R582" i="34"/>
  <c r="R581" i="34"/>
  <c r="R580" i="34"/>
  <c r="R579" i="34"/>
  <c r="R578" i="34"/>
  <c r="R577" i="34"/>
  <c r="R576" i="34"/>
  <c r="R575" i="34"/>
  <c r="R574" i="34"/>
  <c r="R573" i="34"/>
  <c r="R572" i="34"/>
  <c r="R571" i="34"/>
  <c r="R570" i="34"/>
  <c r="R569" i="34"/>
  <c r="R568" i="34"/>
  <c r="R567" i="34"/>
  <c r="R566" i="34"/>
  <c r="R565" i="34"/>
  <c r="R564" i="34"/>
  <c r="R563" i="34"/>
  <c r="R562" i="34"/>
  <c r="R561" i="34"/>
  <c r="R560" i="34"/>
  <c r="R559" i="34"/>
  <c r="R558" i="34"/>
  <c r="R557" i="34"/>
  <c r="R556" i="34"/>
  <c r="R555" i="34"/>
  <c r="R554" i="34"/>
  <c r="R553" i="34"/>
  <c r="R552" i="34"/>
  <c r="R551" i="34"/>
  <c r="R550" i="34"/>
  <c r="R549" i="34"/>
  <c r="R548" i="34"/>
  <c r="R547" i="34"/>
  <c r="R546" i="34"/>
  <c r="R545" i="34"/>
  <c r="R544" i="34"/>
  <c r="R543" i="34"/>
  <c r="R542" i="34"/>
  <c r="R541" i="34"/>
  <c r="R540" i="34"/>
  <c r="R539" i="34"/>
  <c r="R538" i="34"/>
  <c r="R537" i="34"/>
  <c r="R536" i="34"/>
  <c r="R535" i="34"/>
  <c r="R534" i="34"/>
  <c r="R533" i="34"/>
  <c r="R532" i="34"/>
  <c r="R531" i="34"/>
  <c r="R530" i="34"/>
  <c r="R529" i="34"/>
  <c r="R528" i="34"/>
  <c r="R527" i="34"/>
  <c r="R526" i="34"/>
  <c r="R525" i="34"/>
  <c r="R524" i="34"/>
  <c r="R523" i="34"/>
  <c r="R522" i="34"/>
  <c r="R521" i="34"/>
  <c r="R520" i="34"/>
  <c r="R519" i="34"/>
  <c r="R518" i="34"/>
  <c r="R517" i="34"/>
  <c r="R516" i="34"/>
  <c r="R515" i="34"/>
  <c r="R514" i="34"/>
  <c r="R513" i="34"/>
  <c r="R512" i="34"/>
  <c r="R511" i="34"/>
  <c r="R510" i="34"/>
  <c r="R509" i="34"/>
  <c r="R508" i="34"/>
  <c r="R507" i="34"/>
  <c r="R506" i="34"/>
  <c r="R505" i="34"/>
  <c r="R504" i="34"/>
  <c r="R503" i="34"/>
  <c r="R502" i="34"/>
  <c r="R501" i="34"/>
  <c r="R500" i="34"/>
  <c r="R499" i="34"/>
  <c r="R498" i="34"/>
  <c r="R497" i="34"/>
  <c r="R496" i="34"/>
  <c r="R495" i="34"/>
  <c r="R494" i="34"/>
  <c r="R493" i="34"/>
  <c r="R492" i="34"/>
  <c r="R491" i="34"/>
  <c r="R490" i="34"/>
  <c r="R489" i="34"/>
  <c r="R488" i="34"/>
  <c r="R487" i="34"/>
  <c r="R486" i="34"/>
  <c r="R485" i="34"/>
  <c r="R484" i="34"/>
  <c r="R483" i="34"/>
  <c r="R482" i="34"/>
  <c r="R481" i="34"/>
  <c r="R480" i="34"/>
  <c r="R479" i="34"/>
  <c r="R478" i="34"/>
  <c r="R477" i="34"/>
  <c r="R476" i="34"/>
  <c r="R475" i="34"/>
  <c r="R474" i="34"/>
  <c r="R473" i="34"/>
  <c r="R472" i="34"/>
  <c r="R471" i="34"/>
  <c r="R470" i="34"/>
  <c r="R469" i="34"/>
  <c r="R468" i="34"/>
  <c r="R467" i="34"/>
  <c r="R466" i="34"/>
  <c r="R465" i="34"/>
  <c r="R464" i="34"/>
  <c r="R463" i="34"/>
  <c r="R462" i="34"/>
  <c r="R461" i="34"/>
  <c r="R460" i="34"/>
  <c r="R459" i="34"/>
  <c r="R458" i="34"/>
  <c r="R457" i="34"/>
  <c r="R456" i="34"/>
  <c r="R455" i="34"/>
  <c r="R454" i="34"/>
  <c r="R453" i="34"/>
  <c r="R452" i="34"/>
  <c r="R451" i="34"/>
  <c r="R450" i="34"/>
  <c r="R449" i="34"/>
  <c r="R448" i="34"/>
  <c r="R447" i="34"/>
  <c r="R446" i="34"/>
  <c r="R445" i="34"/>
  <c r="R444" i="34"/>
  <c r="R443" i="34"/>
  <c r="R442" i="34"/>
  <c r="R441" i="34"/>
  <c r="R440" i="34"/>
  <c r="R439" i="34"/>
  <c r="R438" i="34"/>
  <c r="R437" i="34"/>
  <c r="R436" i="34"/>
  <c r="R435" i="34"/>
  <c r="R434" i="34"/>
  <c r="R433" i="34"/>
  <c r="R432" i="34"/>
  <c r="R431" i="34"/>
  <c r="R430" i="34"/>
  <c r="R429" i="34"/>
  <c r="R428" i="34"/>
  <c r="R427" i="34"/>
  <c r="R426" i="34"/>
  <c r="R425" i="34"/>
  <c r="R424" i="34"/>
  <c r="R423" i="34"/>
  <c r="R422" i="34"/>
  <c r="R421" i="34"/>
  <c r="R420" i="34"/>
  <c r="R419" i="34"/>
  <c r="R418" i="34"/>
  <c r="R417" i="34"/>
  <c r="R416" i="34"/>
  <c r="R415" i="34"/>
  <c r="R414" i="34"/>
  <c r="R413" i="34"/>
  <c r="R412" i="34"/>
  <c r="R411" i="34"/>
  <c r="R410" i="34"/>
  <c r="R409" i="34"/>
  <c r="R408" i="34"/>
  <c r="R407" i="34"/>
  <c r="R406" i="34"/>
  <c r="R405" i="34"/>
  <c r="R404" i="34"/>
  <c r="R403" i="34"/>
  <c r="R402" i="34"/>
  <c r="R401" i="34"/>
  <c r="R400" i="34"/>
  <c r="R399" i="34"/>
  <c r="R398" i="34"/>
  <c r="R397" i="34"/>
  <c r="R396" i="34"/>
  <c r="R395" i="34"/>
  <c r="R394" i="34"/>
  <c r="R393" i="34"/>
  <c r="R392" i="34"/>
  <c r="R391" i="34"/>
  <c r="R390" i="34"/>
  <c r="R389" i="34"/>
  <c r="R388" i="34"/>
  <c r="R387" i="34"/>
  <c r="R386" i="34"/>
  <c r="R385" i="34"/>
  <c r="R384" i="34"/>
  <c r="R383" i="34"/>
  <c r="R382" i="34"/>
  <c r="R381" i="34"/>
  <c r="R380" i="34"/>
  <c r="R379" i="34"/>
  <c r="R378" i="34"/>
  <c r="R377" i="34"/>
  <c r="R376" i="34"/>
  <c r="R375" i="34"/>
  <c r="R374" i="34"/>
  <c r="R373" i="34"/>
  <c r="R372" i="34"/>
  <c r="R371" i="34"/>
  <c r="R370" i="34"/>
  <c r="R369" i="34"/>
  <c r="R368" i="34"/>
  <c r="R367" i="34"/>
  <c r="R366" i="34"/>
  <c r="R365" i="34"/>
  <c r="R364" i="34"/>
  <c r="R363" i="34"/>
  <c r="R362" i="34"/>
  <c r="R361" i="34"/>
  <c r="R360" i="34"/>
  <c r="R359" i="34"/>
  <c r="R358" i="34"/>
  <c r="R357" i="34"/>
  <c r="R356" i="34"/>
  <c r="R355" i="34"/>
  <c r="R354" i="34"/>
  <c r="R353" i="34"/>
  <c r="R352" i="34"/>
  <c r="R351" i="34"/>
  <c r="R350" i="34"/>
  <c r="R349" i="34"/>
  <c r="R348" i="34"/>
  <c r="R347" i="34"/>
  <c r="R346" i="34"/>
  <c r="R345" i="34"/>
  <c r="R344" i="34"/>
  <c r="R343" i="34"/>
  <c r="R342" i="34"/>
  <c r="R341" i="34"/>
  <c r="R340" i="34"/>
  <c r="R339" i="34"/>
  <c r="R338" i="34"/>
  <c r="R337" i="34"/>
  <c r="R336" i="34"/>
  <c r="R335" i="34"/>
  <c r="R334" i="34"/>
  <c r="R333" i="34"/>
  <c r="R332" i="34"/>
  <c r="R331" i="34"/>
  <c r="R330" i="34"/>
  <c r="R329" i="34"/>
  <c r="R328" i="34"/>
  <c r="R327" i="34"/>
  <c r="R326" i="34"/>
  <c r="R325" i="34"/>
  <c r="R324" i="34"/>
  <c r="R323" i="34"/>
  <c r="R322" i="34"/>
  <c r="R321" i="34"/>
  <c r="R320" i="34"/>
  <c r="R319" i="34"/>
  <c r="R318" i="34"/>
  <c r="R317" i="34"/>
  <c r="R316" i="34"/>
  <c r="R315" i="34"/>
  <c r="R314" i="34"/>
  <c r="R313" i="34"/>
  <c r="R312" i="34"/>
  <c r="R311" i="34"/>
  <c r="R310" i="34"/>
  <c r="R309" i="34"/>
  <c r="R308" i="34"/>
  <c r="R307" i="34"/>
  <c r="R306" i="34"/>
  <c r="R305" i="34"/>
  <c r="R304" i="34"/>
  <c r="R303" i="34"/>
  <c r="R302" i="34"/>
  <c r="R301" i="34"/>
  <c r="R300" i="34"/>
  <c r="R299" i="34"/>
  <c r="R298" i="34"/>
  <c r="R297" i="34"/>
  <c r="R296" i="34"/>
  <c r="R295" i="34"/>
  <c r="R294" i="34"/>
  <c r="R293" i="34"/>
  <c r="R292" i="34"/>
  <c r="R291" i="34"/>
  <c r="R290" i="34"/>
  <c r="R289" i="34"/>
  <c r="R288" i="34"/>
  <c r="R287" i="34"/>
  <c r="R286" i="34"/>
  <c r="R285" i="34"/>
  <c r="R284" i="34"/>
  <c r="R283" i="34"/>
  <c r="R282" i="34"/>
  <c r="R281" i="34"/>
  <c r="R280" i="34"/>
  <c r="R279" i="34"/>
  <c r="R278" i="34"/>
  <c r="R277" i="34"/>
  <c r="R276" i="34"/>
  <c r="R275" i="34"/>
  <c r="R274" i="34"/>
  <c r="R273" i="34"/>
  <c r="R272" i="34"/>
  <c r="R271" i="34"/>
  <c r="R270" i="34"/>
  <c r="R269" i="34"/>
  <c r="R268" i="34"/>
  <c r="R267" i="34"/>
  <c r="R266" i="34"/>
  <c r="R265" i="34"/>
  <c r="R264" i="34"/>
  <c r="R263" i="34"/>
  <c r="R262" i="34"/>
  <c r="R261" i="34"/>
  <c r="R260" i="34"/>
  <c r="R259" i="34"/>
  <c r="R258" i="34"/>
  <c r="R257" i="34"/>
  <c r="R256" i="34"/>
  <c r="R255" i="34"/>
  <c r="R254" i="34"/>
  <c r="R253" i="34"/>
  <c r="R252" i="34"/>
  <c r="R251" i="34"/>
  <c r="R250" i="34"/>
  <c r="R249" i="34"/>
  <c r="R248" i="34"/>
  <c r="R247" i="34"/>
  <c r="R246" i="34"/>
  <c r="R245" i="34"/>
  <c r="R244" i="34"/>
  <c r="R243" i="34"/>
  <c r="R242" i="34"/>
  <c r="R241" i="34"/>
  <c r="R240" i="34"/>
  <c r="R239" i="34"/>
  <c r="R238" i="34"/>
  <c r="R237" i="34"/>
  <c r="R236" i="34"/>
  <c r="R235" i="34"/>
  <c r="R234" i="34"/>
  <c r="R233" i="34"/>
  <c r="R232" i="34"/>
  <c r="R231" i="34"/>
  <c r="R230" i="34"/>
  <c r="R229" i="34"/>
  <c r="R228" i="34"/>
  <c r="R227" i="34"/>
  <c r="R226" i="34"/>
  <c r="R225" i="34"/>
  <c r="R224" i="34"/>
  <c r="R223" i="34"/>
  <c r="R222" i="34"/>
  <c r="R221" i="34"/>
  <c r="R220" i="34"/>
  <c r="R219" i="34"/>
  <c r="R218" i="34"/>
  <c r="R217" i="34"/>
  <c r="R216" i="34"/>
  <c r="R215" i="34"/>
  <c r="R214" i="34"/>
  <c r="R213" i="34"/>
  <c r="R212" i="34"/>
  <c r="R211" i="34"/>
  <c r="R210" i="34"/>
  <c r="R209" i="34"/>
  <c r="R208" i="34"/>
  <c r="R207" i="34"/>
  <c r="R206" i="34"/>
  <c r="R205" i="34"/>
  <c r="R204" i="34"/>
  <c r="R203" i="34"/>
  <c r="R202" i="34"/>
  <c r="R201" i="34"/>
  <c r="R200" i="34"/>
  <c r="R199" i="34"/>
  <c r="R198" i="34"/>
  <c r="R197" i="34"/>
  <c r="R196" i="34"/>
  <c r="R195" i="34"/>
  <c r="R194" i="34"/>
  <c r="R193" i="34"/>
  <c r="R192" i="34"/>
  <c r="R191" i="34"/>
  <c r="R190" i="34"/>
  <c r="R189" i="34"/>
  <c r="R188" i="34"/>
  <c r="R187" i="34"/>
  <c r="R186" i="34"/>
  <c r="R185" i="34"/>
  <c r="R184" i="34"/>
  <c r="R183" i="34"/>
  <c r="R182" i="34"/>
  <c r="R181" i="34"/>
  <c r="R180" i="34"/>
  <c r="R179" i="34"/>
  <c r="R178" i="34"/>
  <c r="R177" i="34"/>
  <c r="R176" i="34"/>
  <c r="R175" i="34"/>
  <c r="R174" i="34"/>
  <c r="R173" i="34"/>
  <c r="R172" i="34"/>
  <c r="R171" i="34"/>
  <c r="R170" i="34"/>
  <c r="R169" i="34"/>
  <c r="R168" i="34"/>
  <c r="R167" i="34"/>
  <c r="R166" i="34"/>
  <c r="R165" i="34"/>
  <c r="R164" i="34"/>
  <c r="R163" i="34"/>
  <c r="R162" i="34"/>
  <c r="R161" i="34"/>
  <c r="R160" i="34"/>
  <c r="R159" i="34"/>
  <c r="R158" i="34"/>
  <c r="R157" i="34"/>
  <c r="R156" i="34"/>
  <c r="R155" i="34"/>
  <c r="R154" i="34"/>
  <c r="R153" i="34"/>
  <c r="R152" i="34"/>
  <c r="R151" i="34"/>
  <c r="R150" i="34"/>
  <c r="R149" i="34"/>
  <c r="R148" i="34"/>
  <c r="R147" i="34"/>
  <c r="R146" i="34"/>
  <c r="R145" i="34"/>
  <c r="R144" i="34"/>
  <c r="R143" i="34"/>
  <c r="R142" i="34"/>
  <c r="R141" i="34"/>
  <c r="R140" i="34"/>
  <c r="R139" i="34"/>
  <c r="R138" i="34"/>
  <c r="R137" i="34"/>
  <c r="R136" i="34"/>
  <c r="R135" i="34"/>
  <c r="R134" i="34"/>
  <c r="R133" i="34"/>
  <c r="R132" i="34"/>
  <c r="R131" i="34"/>
  <c r="R130" i="34"/>
  <c r="R129" i="34"/>
  <c r="R128" i="34"/>
  <c r="R127" i="34"/>
  <c r="R126" i="34"/>
  <c r="R125" i="34"/>
  <c r="R124" i="34"/>
  <c r="R123" i="34"/>
  <c r="R122" i="34"/>
  <c r="R121" i="34"/>
  <c r="R120" i="34"/>
  <c r="R119" i="34"/>
  <c r="R118" i="34"/>
  <c r="R117" i="34"/>
  <c r="R116" i="34"/>
  <c r="R115" i="34"/>
  <c r="R114" i="34"/>
  <c r="R113" i="34"/>
  <c r="R112" i="34"/>
  <c r="R111" i="34"/>
  <c r="R110" i="34"/>
  <c r="R109" i="34"/>
  <c r="R108" i="34"/>
  <c r="R107" i="34"/>
  <c r="R106" i="34"/>
  <c r="R105" i="34"/>
  <c r="R104" i="34"/>
  <c r="R103" i="34"/>
  <c r="R102" i="34"/>
  <c r="R101" i="34"/>
  <c r="R100" i="34"/>
  <c r="R99" i="34"/>
  <c r="R98" i="34"/>
  <c r="R97" i="34"/>
  <c r="R96" i="34"/>
  <c r="R95" i="34"/>
  <c r="R94" i="34"/>
  <c r="R93" i="34"/>
  <c r="R92" i="34"/>
  <c r="R91" i="34"/>
  <c r="R90" i="34"/>
  <c r="R89" i="34"/>
  <c r="R88" i="34"/>
  <c r="R87" i="34"/>
  <c r="R86" i="34"/>
  <c r="R85" i="34"/>
  <c r="R84" i="34"/>
  <c r="R83" i="34"/>
  <c r="R82" i="34"/>
  <c r="R81" i="34"/>
  <c r="R80" i="34"/>
  <c r="R79" i="34"/>
  <c r="R78" i="34"/>
  <c r="R77" i="34"/>
  <c r="R76" i="34"/>
  <c r="R75" i="34"/>
  <c r="R74" i="34"/>
  <c r="R73" i="34"/>
  <c r="R72" i="34"/>
  <c r="R71" i="34"/>
  <c r="R70" i="34"/>
  <c r="R69" i="34"/>
  <c r="R68" i="34"/>
  <c r="R67" i="34"/>
  <c r="R66" i="34"/>
  <c r="R65" i="34"/>
  <c r="R64" i="34"/>
  <c r="R63" i="34"/>
  <c r="R62" i="34"/>
  <c r="R61" i="34"/>
  <c r="R60" i="34"/>
  <c r="R59" i="34"/>
  <c r="R58" i="34"/>
  <c r="R57" i="34"/>
  <c r="R56" i="34"/>
  <c r="R55" i="34"/>
  <c r="R54" i="34"/>
  <c r="R53" i="34"/>
  <c r="R52" i="34"/>
  <c r="R51" i="34"/>
  <c r="R50" i="34"/>
  <c r="R49" i="34"/>
  <c r="R48" i="34"/>
  <c r="R47" i="34"/>
  <c r="R46" i="34"/>
  <c r="R45" i="34"/>
  <c r="R44" i="34"/>
  <c r="R43" i="34"/>
  <c r="R42" i="34"/>
  <c r="R41" i="34"/>
  <c r="M40" i="34"/>
  <c r="I40" i="34"/>
  <c r="N40" i="34"/>
  <c r="S40" i="34"/>
  <c r="M39" i="34"/>
  <c r="I39" i="34"/>
  <c r="N39" i="34"/>
  <c r="S39" i="34"/>
  <c r="M38" i="34"/>
  <c r="I38" i="34"/>
  <c r="N38" i="34"/>
  <c r="S38" i="34"/>
  <c r="M37" i="34"/>
  <c r="I37" i="34"/>
  <c r="N37" i="34"/>
  <c r="S37" i="34"/>
  <c r="M36" i="34"/>
  <c r="I36" i="34"/>
  <c r="N36" i="34"/>
  <c r="S36" i="34"/>
  <c r="M35" i="34"/>
  <c r="I35" i="34"/>
  <c r="N35" i="34"/>
  <c r="S35" i="34"/>
  <c r="M34" i="34"/>
  <c r="I34" i="34"/>
  <c r="N34" i="34"/>
  <c r="S34" i="34"/>
  <c r="M33" i="34"/>
  <c r="I33" i="34"/>
  <c r="N33" i="34"/>
  <c r="S33" i="34"/>
  <c r="M32" i="34"/>
  <c r="I32" i="34"/>
  <c r="N32" i="34"/>
  <c r="S32" i="34"/>
  <c r="M31" i="34"/>
  <c r="I31" i="34"/>
  <c r="N31" i="34"/>
  <c r="S31" i="34"/>
  <c r="M30" i="34"/>
  <c r="I30" i="34"/>
  <c r="N30" i="34"/>
  <c r="S30" i="34"/>
  <c r="M29" i="34"/>
  <c r="I29" i="34"/>
  <c r="N29" i="34"/>
  <c r="S29" i="34"/>
  <c r="M28" i="34"/>
  <c r="I28" i="34"/>
  <c r="N28" i="34"/>
  <c r="S28" i="34"/>
  <c r="M27" i="34"/>
  <c r="I27" i="34"/>
  <c r="N27" i="34"/>
  <c r="S27" i="34"/>
  <c r="M26" i="34"/>
  <c r="I26" i="34"/>
  <c r="N26" i="34"/>
  <c r="S26" i="34"/>
  <c r="M25" i="34"/>
  <c r="I25" i="34"/>
  <c r="N25" i="34"/>
  <c r="S25" i="34"/>
  <c r="R40" i="34"/>
  <c r="R39" i="34"/>
  <c r="R38" i="34"/>
  <c r="R37" i="34"/>
  <c r="R36" i="34"/>
  <c r="R35" i="34"/>
  <c r="R34" i="34"/>
  <c r="R33" i="34"/>
  <c r="R32" i="34"/>
  <c r="R31" i="34"/>
  <c r="R30" i="34"/>
  <c r="R29" i="34"/>
  <c r="R28" i="34"/>
  <c r="R27" i="34"/>
  <c r="R26" i="34"/>
  <c r="R25" i="34"/>
  <c r="R24" i="34"/>
  <c r="S24" i="34"/>
  <c r="T777" i="34"/>
  <c r="T776" i="34"/>
  <c r="T775" i="34"/>
  <c r="T774" i="34"/>
  <c r="T773" i="34"/>
  <c r="T772" i="34"/>
  <c r="T771" i="34"/>
  <c r="T770" i="34"/>
  <c r="T769" i="34"/>
  <c r="T768" i="34"/>
  <c r="T767" i="34"/>
  <c r="T766" i="34"/>
  <c r="T765" i="34"/>
  <c r="T764" i="34"/>
  <c r="T763" i="34"/>
  <c r="T762" i="34"/>
  <c r="T761" i="34"/>
  <c r="T760" i="34"/>
  <c r="T759" i="34"/>
  <c r="T758" i="34"/>
  <c r="T757" i="34"/>
  <c r="T756" i="34"/>
  <c r="T755" i="34"/>
  <c r="T754" i="34"/>
  <c r="T753" i="34"/>
  <c r="T752" i="34"/>
  <c r="T751" i="34"/>
  <c r="T750" i="34"/>
  <c r="T749" i="34"/>
  <c r="T748" i="34"/>
  <c r="T747" i="34"/>
  <c r="T746" i="34"/>
  <c r="T745" i="34"/>
  <c r="T744" i="34"/>
  <c r="T743" i="34"/>
  <c r="T742" i="34"/>
  <c r="T741" i="34"/>
  <c r="T740" i="34"/>
  <c r="T739" i="34"/>
  <c r="T738" i="34"/>
  <c r="T737" i="34"/>
  <c r="T736" i="34"/>
  <c r="T735" i="34"/>
  <c r="T734" i="34"/>
  <c r="T733" i="34"/>
  <c r="T732" i="34"/>
  <c r="T731" i="34"/>
  <c r="T730" i="34"/>
  <c r="T729" i="34"/>
  <c r="T728" i="34"/>
  <c r="T727" i="34"/>
  <c r="T726" i="34"/>
  <c r="T725" i="34"/>
  <c r="T724" i="34"/>
  <c r="T723" i="34"/>
  <c r="T722" i="34"/>
  <c r="T721" i="34"/>
  <c r="T720" i="34"/>
  <c r="T719" i="34"/>
  <c r="T718" i="34"/>
  <c r="T717" i="34"/>
  <c r="T716" i="34"/>
  <c r="T715" i="34"/>
  <c r="T714" i="34"/>
  <c r="T713" i="34"/>
  <c r="T712" i="34"/>
  <c r="T711" i="34"/>
  <c r="T710" i="34"/>
  <c r="T709" i="34"/>
  <c r="T708" i="34"/>
  <c r="T707" i="34"/>
  <c r="T706" i="34"/>
  <c r="T705" i="34"/>
  <c r="T704" i="34"/>
  <c r="T703" i="34"/>
  <c r="T702" i="34"/>
  <c r="T701" i="34"/>
  <c r="T700" i="34"/>
  <c r="T699" i="34"/>
  <c r="T698" i="34"/>
  <c r="T697" i="34"/>
  <c r="T696" i="34"/>
  <c r="T695" i="34"/>
  <c r="T694" i="34"/>
  <c r="T693" i="34"/>
  <c r="T692" i="34"/>
  <c r="T691" i="34"/>
  <c r="T690" i="34"/>
  <c r="T689" i="34"/>
  <c r="T688" i="34"/>
  <c r="T687" i="34"/>
  <c r="T686" i="34"/>
  <c r="T685" i="34"/>
  <c r="T684" i="34"/>
  <c r="T683" i="34"/>
  <c r="T682" i="34"/>
  <c r="T681" i="34"/>
  <c r="T680" i="34"/>
  <c r="T679" i="34"/>
  <c r="T678" i="34"/>
  <c r="T677" i="34"/>
  <c r="T676" i="34"/>
  <c r="T675" i="34"/>
  <c r="T674" i="34"/>
  <c r="T673" i="34"/>
  <c r="T672" i="34"/>
  <c r="T671" i="34"/>
  <c r="T670" i="34"/>
  <c r="T669" i="34"/>
  <c r="T668" i="34"/>
  <c r="T667" i="34"/>
  <c r="T666" i="34"/>
  <c r="T665" i="34"/>
  <c r="T664" i="34"/>
  <c r="T663" i="34"/>
  <c r="T662" i="34"/>
  <c r="T661" i="34"/>
  <c r="T660" i="34"/>
  <c r="T659" i="34"/>
  <c r="T658" i="34"/>
  <c r="T657" i="34"/>
  <c r="T656" i="34"/>
  <c r="T655" i="34"/>
  <c r="T654" i="34"/>
  <c r="T653" i="34"/>
  <c r="T652" i="34"/>
  <c r="T651" i="34"/>
  <c r="T650" i="34"/>
  <c r="T649" i="34"/>
  <c r="T648" i="34"/>
  <c r="T647" i="34"/>
  <c r="T646" i="34"/>
  <c r="T645" i="34"/>
  <c r="T644" i="34"/>
  <c r="T643" i="34"/>
  <c r="T642" i="34"/>
  <c r="T641" i="34"/>
  <c r="T640" i="34"/>
  <c r="T639" i="34"/>
  <c r="T638" i="34"/>
  <c r="T637" i="34"/>
  <c r="T636" i="34"/>
  <c r="T635" i="34"/>
  <c r="T634" i="34"/>
  <c r="T633" i="34"/>
  <c r="T632" i="34"/>
  <c r="T631" i="34"/>
  <c r="T630" i="34"/>
  <c r="T629" i="34"/>
  <c r="T628" i="34"/>
  <c r="T627" i="34"/>
  <c r="T626" i="34"/>
  <c r="T625" i="34"/>
  <c r="T624" i="34"/>
  <c r="T623" i="34"/>
  <c r="T622" i="34"/>
  <c r="T621" i="34"/>
  <c r="T620" i="34"/>
  <c r="T619" i="34"/>
  <c r="T618" i="34"/>
  <c r="T617" i="34"/>
  <c r="T616" i="34"/>
  <c r="T615" i="34"/>
  <c r="T614" i="34"/>
  <c r="T613" i="34"/>
  <c r="T612" i="34"/>
  <c r="T611" i="34"/>
  <c r="T610" i="34"/>
  <c r="T609" i="34"/>
  <c r="T608" i="34"/>
  <c r="T607" i="34"/>
  <c r="T606" i="34"/>
  <c r="T605" i="34"/>
  <c r="T604" i="34"/>
  <c r="T603" i="34"/>
  <c r="T602" i="34"/>
  <c r="T601" i="34"/>
  <c r="T600" i="34"/>
  <c r="T599" i="34"/>
  <c r="T598" i="34"/>
  <c r="T597" i="34"/>
  <c r="T596" i="34"/>
  <c r="T595" i="34"/>
  <c r="T594" i="34"/>
  <c r="T593" i="34"/>
  <c r="T592" i="34"/>
  <c r="T591" i="34"/>
  <c r="T590" i="34"/>
  <c r="T589" i="34"/>
  <c r="T588" i="34"/>
  <c r="T587" i="34"/>
  <c r="T586" i="34"/>
  <c r="T585" i="34"/>
  <c r="T584" i="34"/>
  <c r="T583" i="34"/>
  <c r="T582" i="34"/>
  <c r="T581" i="34"/>
  <c r="T580" i="34"/>
  <c r="T579" i="34"/>
  <c r="T578" i="34"/>
  <c r="T577" i="34"/>
  <c r="T576" i="34"/>
  <c r="T575" i="34"/>
  <c r="T574" i="34"/>
  <c r="T573" i="34"/>
  <c r="T572" i="34"/>
  <c r="T571" i="34"/>
  <c r="T570" i="34"/>
  <c r="T569" i="34"/>
  <c r="T568" i="34"/>
  <c r="T567" i="34"/>
  <c r="T566" i="34"/>
  <c r="T565" i="34"/>
  <c r="T564" i="34"/>
  <c r="T563" i="34"/>
  <c r="T562" i="34"/>
  <c r="T561" i="34"/>
  <c r="T560" i="34"/>
  <c r="T559" i="34"/>
  <c r="T558" i="34"/>
  <c r="T557" i="34"/>
  <c r="T556" i="34"/>
  <c r="T555" i="34"/>
  <c r="T554" i="34"/>
  <c r="T553" i="34"/>
  <c r="T552" i="34"/>
  <c r="T551" i="34"/>
  <c r="T550" i="34"/>
  <c r="T549" i="34"/>
  <c r="T548" i="34"/>
  <c r="T547" i="34"/>
  <c r="T546" i="34"/>
  <c r="T545" i="34"/>
  <c r="T544" i="34"/>
  <c r="T543" i="34"/>
  <c r="T542" i="34"/>
  <c r="T541" i="34"/>
  <c r="T540" i="34"/>
  <c r="T539" i="34"/>
  <c r="T538" i="34"/>
  <c r="T537" i="34"/>
  <c r="T536" i="34"/>
  <c r="T535" i="34"/>
  <c r="T534" i="34"/>
  <c r="T533" i="34"/>
  <c r="T532" i="34"/>
  <c r="T531" i="34"/>
  <c r="T530" i="34"/>
  <c r="T529" i="34"/>
  <c r="T528" i="34"/>
  <c r="T527" i="34"/>
  <c r="T526" i="34"/>
  <c r="T525" i="34"/>
  <c r="T524" i="34"/>
  <c r="T523" i="34"/>
  <c r="T522" i="34"/>
  <c r="T521" i="34"/>
  <c r="T520" i="34"/>
  <c r="T519" i="34"/>
  <c r="T518" i="34"/>
  <c r="T517" i="34"/>
  <c r="T516" i="34"/>
  <c r="T515" i="34"/>
  <c r="T514" i="34"/>
  <c r="T513" i="34"/>
  <c r="T512" i="34"/>
  <c r="T511" i="34"/>
  <c r="T510" i="34"/>
  <c r="T509" i="34"/>
  <c r="T508" i="34"/>
  <c r="T507" i="34"/>
  <c r="T506" i="34"/>
  <c r="T505" i="34"/>
  <c r="T504" i="34"/>
  <c r="T503" i="34"/>
  <c r="T502" i="34"/>
  <c r="T501" i="34"/>
  <c r="T500" i="34"/>
  <c r="T499" i="34"/>
  <c r="T498" i="34"/>
  <c r="T497" i="34"/>
  <c r="T496" i="34"/>
  <c r="T495" i="34"/>
  <c r="T494" i="34"/>
  <c r="T493" i="34"/>
  <c r="T492" i="34"/>
  <c r="T491" i="34"/>
  <c r="T490" i="34"/>
  <c r="T489" i="34"/>
  <c r="T488" i="34"/>
  <c r="T487" i="34"/>
  <c r="T486" i="34"/>
  <c r="T485" i="34"/>
  <c r="T484" i="34"/>
  <c r="T483" i="34"/>
  <c r="T482" i="34"/>
  <c r="T481" i="34"/>
  <c r="T480" i="34"/>
  <c r="T479" i="34"/>
  <c r="T478" i="34"/>
  <c r="T477" i="34"/>
  <c r="T476" i="34"/>
  <c r="T475" i="34"/>
  <c r="T474" i="34"/>
  <c r="T473" i="34"/>
  <c r="T472" i="34"/>
  <c r="T471" i="34"/>
  <c r="T470" i="34"/>
  <c r="T469" i="34"/>
  <c r="T468" i="34"/>
  <c r="T467" i="34"/>
  <c r="T466" i="34"/>
  <c r="T465" i="34"/>
  <c r="T464" i="34"/>
  <c r="T463" i="34"/>
  <c r="T462" i="34"/>
  <c r="T461" i="34"/>
  <c r="T460" i="34"/>
  <c r="T459" i="34"/>
  <c r="T458" i="34"/>
  <c r="T457" i="34"/>
  <c r="T456" i="34"/>
  <c r="T455" i="34"/>
  <c r="T454" i="34"/>
  <c r="T453" i="34"/>
  <c r="T452" i="34"/>
  <c r="T451" i="34"/>
  <c r="T450" i="34"/>
  <c r="T449" i="34"/>
  <c r="T448" i="34"/>
  <c r="T447" i="34"/>
  <c r="T446" i="34"/>
  <c r="T445" i="34"/>
  <c r="T444" i="34"/>
  <c r="T443" i="34"/>
  <c r="T442" i="34"/>
  <c r="T441" i="34"/>
  <c r="T440" i="34"/>
  <c r="T439" i="34"/>
  <c r="T438" i="34"/>
  <c r="T437" i="34"/>
  <c r="T436" i="34"/>
  <c r="T435" i="34"/>
  <c r="T434" i="34"/>
  <c r="T433" i="34"/>
  <c r="T432" i="34"/>
  <c r="T431" i="34"/>
  <c r="T430" i="34"/>
  <c r="T429" i="34"/>
  <c r="T428" i="34"/>
  <c r="T427" i="34"/>
  <c r="T426" i="34"/>
  <c r="T425" i="34"/>
  <c r="T424" i="34"/>
  <c r="T423" i="34"/>
  <c r="T422" i="34"/>
  <c r="T421" i="34"/>
  <c r="T420" i="34"/>
  <c r="T419" i="34"/>
  <c r="T418" i="34"/>
  <c r="T417" i="34"/>
  <c r="T416" i="34"/>
  <c r="T415" i="34"/>
  <c r="T414" i="34"/>
  <c r="T413" i="34"/>
  <c r="T412" i="34"/>
  <c r="T411" i="34"/>
  <c r="T410" i="34"/>
  <c r="T409" i="34"/>
  <c r="T408" i="34"/>
  <c r="T407" i="34"/>
  <c r="T406" i="34"/>
  <c r="T405" i="34"/>
  <c r="T404" i="34"/>
  <c r="T403" i="34"/>
  <c r="T402" i="34"/>
  <c r="T401" i="34"/>
  <c r="T400" i="34"/>
  <c r="T399" i="34"/>
  <c r="T398" i="34"/>
  <c r="T397" i="34"/>
  <c r="T396" i="34"/>
  <c r="T395" i="34"/>
  <c r="T394" i="34"/>
  <c r="T393" i="34"/>
  <c r="T392" i="34"/>
  <c r="T391" i="34"/>
  <c r="T390" i="34"/>
  <c r="T389" i="34"/>
  <c r="T388" i="34"/>
  <c r="T387" i="34"/>
  <c r="T386" i="34"/>
  <c r="T385" i="34"/>
  <c r="T384" i="34"/>
  <c r="T383" i="34"/>
  <c r="T382" i="34"/>
  <c r="T381" i="34"/>
  <c r="T380" i="34"/>
  <c r="T379" i="34"/>
  <c r="T378" i="34"/>
  <c r="T377" i="34"/>
  <c r="T376" i="34"/>
  <c r="T375" i="34"/>
  <c r="T374" i="34"/>
  <c r="T373" i="34"/>
  <c r="T372" i="34"/>
  <c r="T371" i="34"/>
  <c r="T370" i="34"/>
  <c r="T369" i="34"/>
  <c r="T368" i="34"/>
  <c r="T367" i="34"/>
  <c r="T366" i="34"/>
  <c r="T365" i="34"/>
  <c r="T364" i="34"/>
  <c r="T363" i="34"/>
  <c r="T362" i="34"/>
  <c r="T361" i="34"/>
  <c r="T360" i="34"/>
  <c r="T359" i="34"/>
  <c r="T358" i="34"/>
  <c r="T357" i="34"/>
  <c r="T356" i="34"/>
  <c r="T355" i="34"/>
  <c r="T354" i="34"/>
  <c r="T353" i="34"/>
  <c r="T352" i="34"/>
  <c r="T351" i="34"/>
  <c r="T350" i="34"/>
  <c r="T349" i="34"/>
  <c r="T348" i="34"/>
  <c r="T347" i="34"/>
  <c r="T346" i="34"/>
  <c r="T345" i="34"/>
  <c r="T344" i="34"/>
  <c r="T343" i="34"/>
  <c r="T342" i="34"/>
  <c r="T341" i="34"/>
  <c r="T340" i="34"/>
  <c r="T339" i="34"/>
  <c r="T338" i="34"/>
  <c r="T337" i="34"/>
  <c r="T336" i="34"/>
  <c r="T335" i="34"/>
  <c r="T334" i="34"/>
  <c r="T333" i="34"/>
  <c r="T332" i="34"/>
  <c r="T331" i="34"/>
  <c r="T330" i="34"/>
  <c r="T329" i="34"/>
  <c r="T328" i="34"/>
  <c r="T327" i="34"/>
  <c r="T326" i="34"/>
  <c r="T325" i="34"/>
  <c r="T324" i="34"/>
  <c r="T323" i="34"/>
  <c r="T322" i="34"/>
  <c r="T321" i="34"/>
  <c r="T320" i="34"/>
  <c r="T319" i="34"/>
  <c r="T318" i="34"/>
  <c r="T317" i="34"/>
  <c r="T316" i="34"/>
  <c r="T315" i="34"/>
  <c r="T314" i="34"/>
  <c r="T313" i="34"/>
  <c r="T312" i="34"/>
  <c r="T311" i="34"/>
  <c r="T310" i="34"/>
  <c r="T309" i="34"/>
  <c r="T308" i="34"/>
  <c r="T307" i="34"/>
  <c r="T306" i="34"/>
  <c r="T305" i="34"/>
  <c r="T304" i="34"/>
  <c r="T303" i="34"/>
  <c r="T302" i="34"/>
  <c r="T301" i="34"/>
  <c r="T300" i="34"/>
  <c r="T299" i="34"/>
  <c r="T298" i="34"/>
  <c r="T297" i="34"/>
  <c r="T296" i="34"/>
  <c r="T295" i="34"/>
  <c r="T294" i="34"/>
  <c r="T293" i="34"/>
  <c r="T292" i="34"/>
  <c r="T291" i="34"/>
  <c r="T290" i="34"/>
  <c r="T289" i="34"/>
  <c r="T288" i="34"/>
  <c r="T287" i="34"/>
  <c r="T286" i="34"/>
  <c r="T285" i="34"/>
  <c r="T284" i="34"/>
  <c r="T283" i="34"/>
  <c r="T282" i="34"/>
  <c r="T281" i="34"/>
  <c r="T280" i="34"/>
  <c r="T279" i="34"/>
  <c r="T278" i="34"/>
  <c r="T277" i="34"/>
  <c r="T276" i="34"/>
  <c r="T275" i="34"/>
  <c r="T274" i="34"/>
  <c r="T273" i="34"/>
  <c r="T272" i="34"/>
  <c r="T271" i="34"/>
  <c r="T270" i="34"/>
  <c r="T269" i="34"/>
  <c r="T268" i="34"/>
  <c r="T267" i="34"/>
  <c r="T266" i="34"/>
  <c r="T265" i="34"/>
  <c r="T264" i="34"/>
  <c r="T263" i="34"/>
  <c r="T262" i="34"/>
  <c r="T261" i="34"/>
  <c r="T260" i="34"/>
  <c r="T259" i="34"/>
  <c r="T258" i="34"/>
  <c r="T257" i="34"/>
  <c r="T256" i="34"/>
  <c r="T255" i="34"/>
  <c r="T254" i="34"/>
  <c r="T253" i="34"/>
  <c r="T252" i="34"/>
  <c r="T251" i="34"/>
  <c r="T250" i="34"/>
  <c r="T249" i="34"/>
  <c r="T248" i="34"/>
  <c r="T247" i="34"/>
  <c r="T246" i="34"/>
  <c r="T245" i="34"/>
  <c r="T244" i="34"/>
  <c r="T243" i="34"/>
  <c r="T242" i="34"/>
  <c r="T241" i="34"/>
  <c r="T240" i="34"/>
  <c r="T239" i="34"/>
  <c r="T238" i="34"/>
  <c r="T237" i="34"/>
  <c r="T236" i="34"/>
  <c r="T235" i="34"/>
  <c r="T234" i="34"/>
  <c r="T233" i="34"/>
  <c r="T232" i="34"/>
  <c r="T231" i="34"/>
  <c r="T230" i="34"/>
  <c r="T229" i="34"/>
  <c r="T228" i="34"/>
  <c r="T227" i="34"/>
  <c r="T226" i="34"/>
  <c r="T225" i="34"/>
  <c r="T224" i="34"/>
  <c r="T223" i="34"/>
  <c r="T222" i="34"/>
  <c r="T221" i="34"/>
  <c r="T220" i="34"/>
  <c r="T219" i="34"/>
  <c r="T218" i="34"/>
  <c r="T217" i="34"/>
  <c r="T216" i="34"/>
  <c r="T215" i="34"/>
  <c r="T214" i="34"/>
  <c r="T213" i="34"/>
  <c r="T212" i="34"/>
  <c r="T211" i="34"/>
  <c r="T210" i="34"/>
  <c r="T209" i="34"/>
  <c r="T208" i="34"/>
  <c r="T207" i="34"/>
  <c r="T206" i="34"/>
  <c r="T205" i="34"/>
  <c r="T204" i="34"/>
  <c r="T203" i="34"/>
  <c r="T202" i="34"/>
  <c r="T201" i="34"/>
  <c r="T200" i="34"/>
  <c r="T199" i="34"/>
  <c r="T198" i="34"/>
  <c r="T197" i="34"/>
  <c r="T196" i="34"/>
  <c r="T195" i="34"/>
  <c r="T194" i="34"/>
  <c r="T193" i="34"/>
  <c r="T192" i="34"/>
  <c r="T191" i="34"/>
  <c r="T190" i="34"/>
  <c r="T189" i="34"/>
  <c r="T188" i="34"/>
  <c r="T187" i="34"/>
  <c r="T186" i="34"/>
  <c r="T185" i="34"/>
  <c r="T184" i="34"/>
  <c r="T183" i="34"/>
  <c r="T182" i="34"/>
  <c r="T181" i="34"/>
  <c r="T180" i="34"/>
  <c r="T179" i="34"/>
  <c r="T178" i="34"/>
  <c r="T177" i="34"/>
  <c r="T176" i="34"/>
  <c r="T175" i="34"/>
  <c r="T174" i="34"/>
  <c r="T173" i="34"/>
  <c r="T172" i="34"/>
  <c r="T171" i="34"/>
  <c r="T170" i="34"/>
  <c r="T169" i="34"/>
  <c r="T168" i="34"/>
  <c r="T167" i="34"/>
  <c r="T166" i="34"/>
  <c r="T165" i="34"/>
  <c r="T164" i="34"/>
  <c r="T163" i="34"/>
  <c r="T162" i="34"/>
  <c r="T161" i="34"/>
  <c r="T160" i="34"/>
  <c r="T159" i="34"/>
  <c r="T158" i="34"/>
  <c r="T157" i="34"/>
  <c r="T156" i="34"/>
  <c r="T155" i="34"/>
  <c r="T154" i="34"/>
  <c r="T153" i="34"/>
  <c r="T152" i="34"/>
  <c r="T151" i="34"/>
  <c r="T150" i="34"/>
  <c r="T149" i="34"/>
  <c r="T148" i="34"/>
  <c r="T147" i="34"/>
  <c r="T146" i="34"/>
  <c r="T145" i="34"/>
  <c r="T144" i="34"/>
  <c r="T143" i="34"/>
  <c r="T142" i="34"/>
  <c r="T141" i="34"/>
  <c r="T140" i="34"/>
  <c r="T139" i="34"/>
  <c r="T138" i="34"/>
  <c r="T137" i="34"/>
  <c r="T136" i="34"/>
  <c r="T135" i="34"/>
  <c r="T134" i="34"/>
  <c r="T133" i="34"/>
  <c r="T132" i="34"/>
  <c r="T131" i="34"/>
  <c r="T130" i="34"/>
  <c r="T129" i="34"/>
  <c r="T128" i="34"/>
  <c r="T127" i="34"/>
  <c r="T126" i="34"/>
  <c r="T125" i="34"/>
  <c r="T124" i="34"/>
  <c r="T123" i="34"/>
  <c r="T122" i="34"/>
  <c r="T121" i="34"/>
  <c r="T120" i="34"/>
  <c r="T119" i="34"/>
  <c r="T118" i="34"/>
  <c r="T117" i="34"/>
  <c r="T116" i="34"/>
  <c r="T115" i="34"/>
  <c r="T114" i="34"/>
  <c r="T113" i="34"/>
  <c r="T112" i="34"/>
  <c r="T111" i="34"/>
  <c r="T110" i="34"/>
  <c r="T109" i="34"/>
  <c r="T108" i="34"/>
  <c r="T107" i="34"/>
  <c r="T106" i="34"/>
  <c r="T105" i="34"/>
  <c r="T104" i="34"/>
  <c r="T103" i="34"/>
  <c r="T102" i="34"/>
  <c r="T101" i="34"/>
  <c r="T100" i="34"/>
  <c r="T99" i="34"/>
  <c r="T98" i="34"/>
  <c r="T97" i="34"/>
  <c r="T96" i="34"/>
  <c r="T95" i="34"/>
  <c r="T94" i="34"/>
  <c r="T93" i="34"/>
  <c r="T92" i="34"/>
  <c r="T91" i="34"/>
  <c r="T90" i="34"/>
  <c r="T89" i="34"/>
  <c r="T88" i="34"/>
  <c r="T87" i="34"/>
  <c r="T86" i="34"/>
  <c r="T85" i="34"/>
  <c r="T84" i="34"/>
  <c r="T83" i="34"/>
  <c r="T82" i="34"/>
  <c r="T81" i="34"/>
  <c r="T80" i="34"/>
  <c r="T79" i="34"/>
  <c r="T78" i="34"/>
  <c r="T77" i="34"/>
  <c r="T76" i="34"/>
  <c r="T75" i="34"/>
  <c r="T74" i="34"/>
  <c r="T73" i="34"/>
  <c r="T72" i="34"/>
  <c r="T71" i="34"/>
  <c r="T70" i="34"/>
  <c r="T69" i="34"/>
  <c r="T68" i="34"/>
  <c r="T67" i="34"/>
  <c r="T66" i="34"/>
  <c r="T65" i="34"/>
  <c r="T64" i="34"/>
  <c r="T63" i="34"/>
  <c r="T62" i="34"/>
  <c r="T61" i="34"/>
  <c r="T60" i="34"/>
  <c r="T59" i="34"/>
  <c r="T58" i="34"/>
  <c r="T57" i="34"/>
  <c r="T56" i="34"/>
  <c r="T55" i="34"/>
  <c r="T54" i="34"/>
  <c r="T53" i="34"/>
  <c r="T52" i="34"/>
  <c r="T51" i="34"/>
  <c r="T50" i="34"/>
  <c r="T49" i="34"/>
  <c r="T48" i="34"/>
  <c r="T47" i="34"/>
  <c r="T46" i="34"/>
  <c r="T45" i="34"/>
  <c r="T44" i="34"/>
  <c r="T43" i="34"/>
  <c r="T42" i="34"/>
  <c r="T41" i="34"/>
  <c r="T40" i="34"/>
  <c r="T39" i="34"/>
  <c r="T38" i="34"/>
  <c r="T37" i="34"/>
  <c r="T36" i="34"/>
  <c r="T35" i="34"/>
  <c r="T34" i="34"/>
  <c r="T33" i="34"/>
  <c r="T32" i="34"/>
  <c r="T31" i="34"/>
  <c r="T30" i="34"/>
  <c r="T29" i="34"/>
  <c r="T28" i="34"/>
  <c r="T27" i="34"/>
  <c r="T26" i="34"/>
  <c r="T25" i="34"/>
  <c r="T24" i="34"/>
  <c r="U24" i="34"/>
  <c r="U41" i="34"/>
  <c r="U44" i="34"/>
  <c r="U46" i="34"/>
  <c r="U49" i="34"/>
  <c r="U50" i="34"/>
  <c r="U53" i="34"/>
  <c r="U56" i="34"/>
  <c r="U58" i="34"/>
  <c r="U60" i="34"/>
  <c r="U64" i="34"/>
  <c r="U73" i="34"/>
  <c r="U75" i="34"/>
  <c r="U83" i="34"/>
  <c r="U89" i="34"/>
  <c r="U94" i="34"/>
  <c r="U95" i="34"/>
  <c r="U98" i="34"/>
  <c r="U100" i="34"/>
  <c r="U107" i="34"/>
  <c r="U111" i="34"/>
  <c r="U112" i="34"/>
  <c r="U118" i="34"/>
  <c r="U121" i="34"/>
  <c r="U130" i="34"/>
  <c r="U132" i="34"/>
  <c r="U138" i="34"/>
  <c r="U145" i="34"/>
  <c r="U149" i="34"/>
  <c r="U154" i="34"/>
  <c r="U160" i="34"/>
  <c r="U164" i="34"/>
  <c r="U175" i="34"/>
  <c r="U182" i="34"/>
  <c r="U187" i="34"/>
  <c r="U191" i="34"/>
  <c r="U192" i="34"/>
  <c r="U194" i="34"/>
  <c r="U202" i="34"/>
  <c r="U207" i="34"/>
  <c r="U211" i="34"/>
  <c r="U212" i="34"/>
  <c r="U223" i="34"/>
  <c r="U229" i="34"/>
  <c r="U235" i="34"/>
  <c r="U239" i="34"/>
  <c r="U243" i="34"/>
  <c r="U245" i="34"/>
  <c r="U247" i="34"/>
  <c r="U251" i="34"/>
  <c r="U256" i="34"/>
  <c r="U257" i="34"/>
  <c r="U258" i="34"/>
  <c r="U263" i="34"/>
  <c r="U269" i="34"/>
  <c r="U272" i="34"/>
  <c r="U273" i="34"/>
  <c r="U276" i="34"/>
  <c r="U281" i="34"/>
  <c r="U284" i="34"/>
  <c r="U287" i="34"/>
  <c r="U289" i="34"/>
  <c r="U292" i="34"/>
  <c r="U298" i="34"/>
  <c r="U300" i="34"/>
  <c r="U302" i="34"/>
  <c r="U306" i="34"/>
  <c r="U313" i="34"/>
  <c r="U315" i="34"/>
  <c r="U316" i="34"/>
  <c r="U318" i="34"/>
  <c r="U320" i="34"/>
  <c r="U324" i="34"/>
  <c r="U326" i="34"/>
  <c r="U329" i="34"/>
  <c r="U330" i="34"/>
  <c r="U333" i="34"/>
  <c r="U339" i="34"/>
  <c r="U343" i="34"/>
  <c r="U345" i="34"/>
  <c r="U347" i="34"/>
  <c r="U349" i="34"/>
  <c r="U350" i="34"/>
  <c r="U351" i="34"/>
  <c r="U354" i="34"/>
  <c r="U361" i="34"/>
  <c r="U366" i="34"/>
  <c r="U370" i="34"/>
  <c r="U376" i="34"/>
  <c r="U379" i="34"/>
  <c r="U380" i="34"/>
  <c r="U383" i="34"/>
  <c r="U386" i="34"/>
  <c r="U392" i="34"/>
  <c r="U397" i="34"/>
  <c r="U401" i="34"/>
  <c r="U403" i="34"/>
  <c r="U409" i="34"/>
  <c r="U414" i="34"/>
  <c r="U419" i="34"/>
  <c r="U429" i="34"/>
  <c r="U435" i="34"/>
  <c r="U439" i="34"/>
  <c r="U442" i="34"/>
  <c r="U446" i="34"/>
  <c r="U448" i="34"/>
  <c r="U450" i="34"/>
  <c r="U452" i="34"/>
  <c r="U458" i="34"/>
  <c r="U462" i="34"/>
  <c r="U464" i="34"/>
  <c r="U465" i="34"/>
  <c r="U468" i="34"/>
  <c r="U471" i="34"/>
  <c r="U474" i="34"/>
  <c r="U476" i="34"/>
  <c r="U478" i="34"/>
  <c r="U483" i="34"/>
  <c r="U488" i="34"/>
  <c r="U492" i="34"/>
  <c r="U494" i="34"/>
  <c r="U495" i="34"/>
  <c r="U503" i="34"/>
  <c r="U505" i="34"/>
  <c r="U509" i="34"/>
  <c r="U510" i="34"/>
  <c r="U512" i="34"/>
  <c r="U515" i="34"/>
  <c r="U517" i="34"/>
  <c r="U520" i="34"/>
  <c r="U522" i="34"/>
  <c r="U524" i="34"/>
  <c r="U528" i="34"/>
  <c r="U529" i="34"/>
  <c r="U534" i="34"/>
  <c r="U540" i="34"/>
  <c r="U542" i="34"/>
  <c r="U546" i="34"/>
  <c r="U547" i="34"/>
  <c r="U552" i="34"/>
  <c r="U558" i="34"/>
  <c r="U568" i="34"/>
  <c r="U570" i="34"/>
  <c r="U572" i="34"/>
  <c r="U575" i="34"/>
  <c r="U587" i="34"/>
  <c r="U591" i="34"/>
  <c r="U596" i="34"/>
  <c r="U598" i="34"/>
  <c r="U599" i="34"/>
  <c r="U602" i="34"/>
  <c r="U607" i="34"/>
  <c r="U612" i="34"/>
  <c r="U614" i="34"/>
  <c r="U615" i="34"/>
  <c r="U619" i="34"/>
  <c r="U623" i="34"/>
  <c r="U627" i="34"/>
  <c r="U630" i="34"/>
  <c r="U632" i="34"/>
  <c r="U639" i="34"/>
  <c r="U646" i="34"/>
  <c r="U647" i="34"/>
  <c r="U654" i="34"/>
  <c r="U656" i="34"/>
  <c r="U658" i="34"/>
  <c r="U660" i="34"/>
  <c r="U665" i="34"/>
  <c r="U668" i="34"/>
  <c r="U670" i="34"/>
  <c r="U673" i="34"/>
  <c r="U676" i="34"/>
  <c r="U678" i="34"/>
  <c r="U681" i="34"/>
  <c r="U692" i="34"/>
  <c r="U703" i="34"/>
  <c r="U708" i="34"/>
  <c r="U710" i="34"/>
  <c r="U714" i="34"/>
  <c r="U716" i="34"/>
  <c r="U724" i="34"/>
  <c r="U727" i="34"/>
  <c r="U729" i="34"/>
  <c r="U733" i="34"/>
  <c r="U735" i="34"/>
  <c r="U738" i="34"/>
  <c r="U744" i="34"/>
  <c r="U748" i="34"/>
  <c r="U749" i="34"/>
  <c r="U750" i="34"/>
  <c r="U753" i="34"/>
  <c r="U756" i="34"/>
  <c r="U759" i="34"/>
  <c r="U766" i="34"/>
  <c r="U769" i="34"/>
  <c r="U772" i="34"/>
  <c r="U774" i="34"/>
  <c r="V24" i="34"/>
  <c r="V41" i="34"/>
  <c r="V44" i="34"/>
  <c r="V46" i="34"/>
  <c r="V49" i="34"/>
  <c r="V50" i="34"/>
  <c r="V53" i="34"/>
  <c r="V56" i="34"/>
  <c r="V58" i="34"/>
  <c r="V60" i="34"/>
  <c r="V64" i="34"/>
  <c r="V73" i="34"/>
  <c r="V75" i="34"/>
  <c r="V83" i="34"/>
  <c r="V89" i="34"/>
  <c r="V94" i="34"/>
  <c r="V95" i="34"/>
  <c r="V98" i="34"/>
  <c r="V100" i="34"/>
  <c r="V107" i="34"/>
  <c r="V111" i="34"/>
  <c r="V112" i="34"/>
  <c r="V118" i="34"/>
  <c r="V121" i="34"/>
  <c r="V130" i="34"/>
  <c r="V132" i="34"/>
  <c r="V138" i="34"/>
  <c r="V145" i="34"/>
  <c r="V149" i="34"/>
  <c r="V154" i="34"/>
  <c r="V160" i="34"/>
  <c r="V164" i="34"/>
  <c r="V175" i="34"/>
  <c r="V182" i="34"/>
  <c r="V187" i="34"/>
  <c r="V191" i="34"/>
  <c r="V192" i="34"/>
  <c r="V194" i="34"/>
  <c r="V202" i="34"/>
  <c r="V207" i="34"/>
  <c r="V211" i="34"/>
  <c r="V212" i="34"/>
  <c r="V223" i="34"/>
  <c r="V229" i="34"/>
  <c r="V235" i="34"/>
  <c r="V239" i="34"/>
  <c r="V243" i="34"/>
  <c r="V245" i="34"/>
  <c r="V247" i="34"/>
  <c r="V251" i="34"/>
  <c r="V256" i="34"/>
  <c r="V257" i="34"/>
  <c r="V258" i="34"/>
  <c r="V263" i="34"/>
  <c r="V269" i="34"/>
  <c r="V272" i="34"/>
  <c r="V273" i="34"/>
  <c r="V276" i="34"/>
  <c r="V281" i="34"/>
  <c r="V284" i="34"/>
  <c r="V287" i="34"/>
  <c r="V289" i="34"/>
  <c r="V292" i="34"/>
  <c r="V298" i="34"/>
  <c r="V300" i="34"/>
  <c r="V302" i="34"/>
  <c r="V306" i="34"/>
  <c r="V313" i="34"/>
  <c r="V315" i="34"/>
  <c r="V316" i="34"/>
  <c r="V318" i="34"/>
  <c r="V320" i="34"/>
  <c r="V324" i="34"/>
  <c r="V326" i="34"/>
  <c r="V329" i="34"/>
  <c r="V330" i="34"/>
  <c r="V333" i="34"/>
  <c r="V339" i="34"/>
  <c r="V343" i="34"/>
  <c r="V345" i="34"/>
  <c r="V347" i="34"/>
  <c r="V349" i="34"/>
  <c r="V350" i="34"/>
  <c r="V351" i="34"/>
  <c r="V354" i="34"/>
  <c r="V361" i="34"/>
  <c r="V366" i="34"/>
  <c r="V370" i="34"/>
  <c r="V376" i="34"/>
  <c r="V379" i="34"/>
  <c r="V380" i="34"/>
  <c r="V383" i="34"/>
  <c r="V386" i="34"/>
  <c r="V392" i="34"/>
  <c r="V397" i="34"/>
  <c r="V401" i="34"/>
  <c r="V403" i="34"/>
  <c r="V409" i="34"/>
  <c r="V414" i="34"/>
  <c r="V419" i="34"/>
  <c r="V429" i="34"/>
  <c r="V435" i="34"/>
  <c r="V439" i="34"/>
  <c r="V442" i="34"/>
  <c r="V446" i="34"/>
  <c r="V448" i="34"/>
  <c r="V450" i="34"/>
  <c r="V452" i="34"/>
  <c r="V458" i="34"/>
  <c r="V462" i="34"/>
  <c r="V464" i="34"/>
  <c r="V465" i="34"/>
  <c r="V468" i="34"/>
  <c r="V471" i="34"/>
  <c r="V474" i="34"/>
  <c r="V476" i="34"/>
  <c r="V478" i="34"/>
  <c r="V483" i="34"/>
  <c r="V488" i="34"/>
  <c r="V492" i="34"/>
  <c r="V494" i="34"/>
  <c r="V495" i="34"/>
  <c r="V503" i="34"/>
  <c r="V505" i="34"/>
  <c r="V509" i="34"/>
  <c r="V510" i="34"/>
  <c r="V512" i="34"/>
  <c r="V515" i="34"/>
  <c r="V517" i="34"/>
  <c r="V520" i="34"/>
  <c r="V522" i="34"/>
  <c r="V524" i="34"/>
  <c r="V528" i="34"/>
  <c r="V529" i="34"/>
  <c r="V534" i="34"/>
  <c r="V540" i="34"/>
  <c r="V542" i="34"/>
  <c r="V546" i="34"/>
  <c r="V547" i="34"/>
  <c r="V552" i="34"/>
  <c r="V558" i="34"/>
  <c r="V568" i="34"/>
  <c r="V570" i="34"/>
  <c r="V572" i="34"/>
  <c r="V575" i="34"/>
  <c r="V587" i="34"/>
  <c r="V591" i="34"/>
  <c r="V596" i="34"/>
  <c r="V598" i="34"/>
  <c r="V599" i="34"/>
  <c r="V602" i="34"/>
  <c r="V607" i="34"/>
  <c r="V612" i="34"/>
  <c r="V614" i="34"/>
  <c r="V615" i="34"/>
  <c r="V619" i="34"/>
  <c r="V623" i="34"/>
  <c r="V627" i="34"/>
  <c r="V630" i="34"/>
  <c r="V632" i="34"/>
  <c r="V639" i="34"/>
  <c r="V646" i="34"/>
  <c r="V647" i="34"/>
  <c r="V654" i="34"/>
  <c r="V656" i="34"/>
  <c r="V658" i="34"/>
  <c r="V660" i="34"/>
  <c r="V665" i="34"/>
  <c r="V668" i="34"/>
  <c r="V670" i="34"/>
  <c r="V673" i="34"/>
  <c r="V676" i="34"/>
  <c r="V678" i="34"/>
  <c r="V681" i="34"/>
  <c r="V692" i="34"/>
  <c r="V703" i="34"/>
  <c r="V708" i="34"/>
  <c r="V710" i="34"/>
  <c r="V714" i="34"/>
  <c r="V716" i="34"/>
  <c r="V724" i="34"/>
  <c r="V727" i="34"/>
  <c r="V729" i="34"/>
  <c r="V733" i="34"/>
  <c r="V735" i="34"/>
  <c r="V738" i="34"/>
  <c r="V744" i="34"/>
  <c r="V748" i="34"/>
  <c r="V749" i="34"/>
  <c r="V750" i="34"/>
  <c r="V753" i="34"/>
  <c r="V756" i="34"/>
  <c r="V759" i="34"/>
  <c r="V766" i="34"/>
  <c r="V769" i="34"/>
  <c r="V772" i="34"/>
  <c r="V774" i="34"/>
  <c r="W24" i="34"/>
  <c r="W41" i="34"/>
  <c r="W44" i="34"/>
  <c r="W46" i="34"/>
  <c r="W49" i="34"/>
  <c r="W50" i="34"/>
  <c r="W53" i="34"/>
  <c r="W56" i="34"/>
  <c r="W58" i="34"/>
  <c r="W60" i="34"/>
  <c r="W64" i="34"/>
  <c r="W73" i="34"/>
  <c r="W75" i="34"/>
  <c r="W83" i="34"/>
  <c r="W89" i="34"/>
  <c r="W94" i="34"/>
  <c r="W95" i="34"/>
  <c r="W98" i="34"/>
  <c r="W100" i="34"/>
  <c r="W107" i="34"/>
  <c r="W111" i="34"/>
  <c r="W112" i="34"/>
  <c r="W118" i="34"/>
  <c r="W121" i="34"/>
  <c r="W130" i="34"/>
  <c r="W132" i="34"/>
  <c r="W138" i="34"/>
  <c r="W145" i="34"/>
  <c r="W149" i="34"/>
  <c r="W154" i="34"/>
  <c r="W160" i="34"/>
  <c r="W164" i="34"/>
  <c r="W175" i="34"/>
  <c r="W182" i="34"/>
  <c r="W187" i="34"/>
  <c r="W191" i="34"/>
  <c r="W192" i="34"/>
  <c r="W194" i="34"/>
  <c r="W202" i="34"/>
  <c r="W207" i="34"/>
  <c r="W211" i="34"/>
  <c r="W212" i="34"/>
  <c r="W223" i="34"/>
  <c r="W229" i="34"/>
  <c r="W235" i="34"/>
  <c r="W239" i="34"/>
  <c r="W243" i="34"/>
  <c r="W245" i="34"/>
  <c r="W247" i="34"/>
  <c r="W251" i="34"/>
  <c r="W256" i="34"/>
  <c r="W257" i="34"/>
  <c r="W258" i="34"/>
  <c r="W263" i="34"/>
  <c r="W269" i="34"/>
  <c r="W272" i="34"/>
  <c r="W273" i="34"/>
  <c r="W276" i="34"/>
  <c r="W281" i="34"/>
  <c r="W284" i="34"/>
  <c r="W287" i="34"/>
  <c r="W289" i="34"/>
  <c r="W292" i="34"/>
  <c r="W298" i="34"/>
  <c r="W300" i="34"/>
  <c r="W302" i="34"/>
  <c r="W306" i="34"/>
  <c r="W313" i="34"/>
  <c r="W315" i="34"/>
  <c r="W316" i="34"/>
  <c r="W318" i="34"/>
  <c r="W320" i="34"/>
  <c r="W324" i="34"/>
  <c r="W326" i="34"/>
  <c r="W329" i="34"/>
  <c r="W330" i="34"/>
  <c r="W333" i="34"/>
  <c r="W339" i="34"/>
  <c r="W343" i="34"/>
  <c r="W345" i="34"/>
  <c r="W347" i="34"/>
  <c r="W349" i="34"/>
  <c r="W350" i="34"/>
  <c r="W351" i="34"/>
  <c r="W354" i="34"/>
  <c r="W361" i="34"/>
  <c r="W366" i="34"/>
  <c r="W370" i="34"/>
  <c r="W376" i="34"/>
  <c r="W379" i="34"/>
  <c r="W380" i="34"/>
  <c r="W383" i="34"/>
  <c r="W386" i="34"/>
  <c r="W392" i="34"/>
  <c r="W397" i="34"/>
  <c r="W401" i="34"/>
  <c r="W403" i="34"/>
  <c r="W409" i="34"/>
  <c r="W414" i="34"/>
  <c r="W419" i="34"/>
  <c r="W429" i="34"/>
  <c r="W435" i="34"/>
  <c r="W439" i="34"/>
  <c r="W442" i="34"/>
  <c r="W446" i="34"/>
  <c r="W448" i="34"/>
  <c r="W450" i="34"/>
  <c r="W452" i="34"/>
  <c r="W458" i="34"/>
  <c r="W462" i="34"/>
  <c r="W464" i="34"/>
  <c r="W465" i="34"/>
  <c r="W468" i="34"/>
  <c r="W471" i="34"/>
  <c r="W474" i="34"/>
  <c r="W476" i="34"/>
  <c r="W478" i="34"/>
  <c r="W483" i="34"/>
  <c r="W488" i="34"/>
  <c r="W492" i="34"/>
  <c r="W494" i="34"/>
  <c r="W495" i="34"/>
  <c r="W503" i="34"/>
  <c r="W505" i="34"/>
  <c r="W509" i="34"/>
  <c r="W510" i="34"/>
  <c r="W512" i="34"/>
  <c r="W515" i="34"/>
  <c r="W517" i="34"/>
  <c r="W520" i="34"/>
  <c r="W522" i="34"/>
  <c r="W524" i="34"/>
  <c r="W528" i="34"/>
  <c r="W529" i="34"/>
  <c r="W534" i="34"/>
  <c r="W540" i="34"/>
  <c r="W542" i="34"/>
  <c r="W546" i="34"/>
  <c r="W547" i="34"/>
  <c r="W552" i="34"/>
  <c r="W558" i="34"/>
  <c r="W568" i="34"/>
  <c r="W570" i="34"/>
  <c r="W572" i="34"/>
  <c r="W575" i="34"/>
  <c r="W587" i="34"/>
  <c r="W591" i="34"/>
  <c r="W596" i="34"/>
  <c r="W598" i="34"/>
  <c r="W599" i="34"/>
  <c r="W602" i="34"/>
  <c r="W607" i="34"/>
  <c r="W612" i="34"/>
  <c r="W614" i="34"/>
  <c r="W615" i="34"/>
  <c r="W619" i="34"/>
  <c r="W623" i="34"/>
  <c r="W627" i="34"/>
  <c r="W630" i="34"/>
  <c r="W632" i="34"/>
  <c r="W639" i="34"/>
  <c r="W646" i="34"/>
  <c r="W647" i="34"/>
  <c r="W654" i="34"/>
  <c r="W656" i="34"/>
  <c r="W658" i="34"/>
  <c r="W660" i="34"/>
  <c r="W665" i="34"/>
  <c r="W668" i="34"/>
  <c r="W670" i="34"/>
  <c r="W673" i="34"/>
  <c r="W676" i="34"/>
  <c r="W678" i="34"/>
  <c r="W681" i="34"/>
  <c r="W692" i="34"/>
  <c r="W703" i="34"/>
  <c r="W708" i="34"/>
  <c r="W710" i="34"/>
  <c r="W714" i="34"/>
  <c r="W716" i="34"/>
  <c r="W724" i="34"/>
  <c r="W727" i="34"/>
  <c r="W729" i="34"/>
  <c r="W733" i="34"/>
  <c r="W735" i="34"/>
  <c r="W738" i="34"/>
  <c r="W744" i="34"/>
  <c r="W748" i="34"/>
  <c r="W749" i="34"/>
  <c r="W750" i="34"/>
  <c r="W753" i="34"/>
  <c r="W756" i="34"/>
  <c r="W759" i="34"/>
  <c r="W766" i="34"/>
  <c r="W769" i="34"/>
  <c r="W772" i="34"/>
  <c r="W774" i="34"/>
  <c r="X24" i="34"/>
  <c r="X41" i="34"/>
  <c r="X44" i="34"/>
  <c r="X46" i="34"/>
  <c r="X49" i="34"/>
  <c r="X50" i="34"/>
  <c r="X53" i="34"/>
  <c r="X56" i="34"/>
  <c r="X58" i="34"/>
  <c r="X60" i="34"/>
  <c r="X64" i="34"/>
  <c r="X73" i="34"/>
  <c r="X75" i="34"/>
  <c r="X83" i="34"/>
  <c r="X89" i="34"/>
  <c r="X94" i="34"/>
  <c r="X95" i="34"/>
  <c r="X98" i="34"/>
  <c r="X100" i="34"/>
  <c r="X107" i="34"/>
  <c r="X111" i="34"/>
  <c r="X112" i="34"/>
  <c r="X118" i="34"/>
  <c r="X121" i="34"/>
  <c r="X130" i="34"/>
  <c r="X132" i="34"/>
  <c r="X138" i="34"/>
  <c r="X145" i="34"/>
  <c r="X149" i="34"/>
  <c r="X154" i="34"/>
  <c r="X160" i="34"/>
  <c r="X164" i="34"/>
  <c r="X175" i="34"/>
  <c r="X182" i="34"/>
  <c r="X187" i="34"/>
  <c r="X191" i="34"/>
  <c r="X192" i="34"/>
  <c r="X194" i="34"/>
  <c r="X202" i="34"/>
  <c r="X207" i="34"/>
  <c r="X211" i="34"/>
  <c r="X212" i="34"/>
  <c r="X223" i="34"/>
  <c r="X229" i="34"/>
  <c r="X235" i="34"/>
  <c r="X239" i="34"/>
  <c r="X243" i="34"/>
  <c r="X245" i="34"/>
  <c r="X247" i="34"/>
  <c r="X251" i="34"/>
  <c r="X256" i="34"/>
  <c r="X257" i="34"/>
  <c r="X258" i="34"/>
  <c r="X263" i="34"/>
  <c r="X269" i="34"/>
  <c r="X272" i="34"/>
  <c r="X273" i="34"/>
  <c r="X276" i="34"/>
  <c r="X281" i="34"/>
  <c r="X284" i="34"/>
  <c r="X287" i="34"/>
  <c r="X289" i="34"/>
  <c r="X292" i="34"/>
  <c r="X298" i="34"/>
  <c r="X300" i="34"/>
  <c r="X302" i="34"/>
  <c r="X306" i="34"/>
  <c r="X313" i="34"/>
  <c r="X315" i="34"/>
  <c r="X316" i="34"/>
  <c r="X318" i="34"/>
  <c r="X320" i="34"/>
  <c r="X324" i="34"/>
  <c r="X326" i="34"/>
  <c r="X329" i="34"/>
  <c r="X330" i="34"/>
  <c r="X333" i="34"/>
  <c r="X339" i="34"/>
  <c r="X343" i="34"/>
  <c r="X345" i="34"/>
  <c r="X347" i="34"/>
  <c r="X349" i="34"/>
  <c r="X350" i="34"/>
  <c r="X351" i="34"/>
  <c r="X354" i="34"/>
  <c r="X361" i="34"/>
  <c r="X366" i="34"/>
  <c r="X370" i="34"/>
  <c r="X376" i="34"/>
  <c r="X379" i="34"/>
  <c r="X380" i="34"/>
  <c r="X383" i="34"/>
  <c r="X386" i="34"/>
  <c r="X392" i="34"/>
  <c r="X397" i="34"/>
  <c r="X401" i="34"/>
  <c r="X403" i="34"/>
  <c r="X409" i="34"/>
  <c r="X414" i="34"/>
  <c r="X419" i="34"/>
  <c r="X429" i="34"/>
  <c r="X435" i="34"/>
  <c r="X439" i="34"/>
  <c r="X442" i="34"/>
  <c r="X446" i="34"/>
  <c r="X448" i="34"/>
  <c r="X450" i="34"/>
  <c r="X452" i="34"/>
  <c r="X458" i="34"/>
  <c r="X462" i="34"/>
  <c r="X464" i="34"/>
  <c r="X465" i="34"/>
  <c r="X468" i="34"/>
  <c r="X471" i="34"/>
  <c r="X474" i="34"/>
  <c r="X476" i="34"/>
  <c r="X478" i="34"/>
  <c r="X483" i="34"/>
  <c r="X488" i="34"/>
  <c r="X492" i="34"/>
  <c r="X494" i="34"/>
  <c r="X495" i="34"/>
  <c r="X503" i="34"/>
  <c r="X505" i="34"/>
  <c r="X509" i="34"/>
  <c r="X510" i="34"/>
  <c r="X512" i="34"/>
  <c r="X515" i="34"/>
  <c r="X517" i="34"/>
  <c r="X520" i="34"/>
  <c r="X522" i="34"/>
  <c r="X524" i="34"/>
  <c r="X528" i="34"/>
  <c r="X529" i="34"/>
  <c r="X534" i="34"/>
  <c r="X540" i="34"/>
  <c r="X542" i="34"/>
  <c r="X546" i="34"/>
  <c r="X547" i="34"/>
  <c r="X552" i="34"/>
  <c r="X558" i="34"/>
  <c r="X568" i="34"/>
  <c r="X570" i="34"/>
  <c r="X572" i="34"/>
  <c r="X575" i="34"/>
  <c r="X587" i="34"/>
  <c r="X591" i="34"/>
  <c r="X596" i="34"/>
  <c r="X598" i="34"/>
  <c r="X599" i="34"/>
  <c r="X602" i="34"/>
  <c r="X607" i="34"/>
  <c r="X612" i="34"/>
  <c r="X614" i="34"/>
  <c r="X615" i="34"/>
  <c r="X619" i="34"/>
  <c r="X623" i="34"/>
  <c r="X627" i="34"/>
  <c r="X630" i="34"/>
  <c r="X632" i="34"/>
  <c r="X639" i="34"/>
  <c r="X646" i="34"/>
  <c r="X647" i="34"/>
  <c r="X654" i="34"/>
  <c r="X656" i="34"/>
  <c r="X658" i="34"/>
  <c r="X660" i="34"/>
  <c r="X665" i="34"/>
  <c r="X668" i="34"/>
  <c r="X670" i="34"/>
  <c r="X673" i="34"/>
  <c r="X676" i="34"/>
  <c r="X678" i="34"/>
  <c r="X681" i="34"/>
  <c r="X692" i="34"/>
  <c r="X703" i="34"/>
  <c r="X708" i="34"/>
  <c r="X710" i="34"/>
  <c r="X714" i="34"/>
  <c r="X716" i="34"/>
  <c r="X724" i="34"/>
  <c r="X727" i="34"/>
  <c r="X729" i="34"/>
  <c r="X733" i="34"/>
  <c r="X735" i="34"/>
  <c r="X738" i="34"/>
  <c r="X744" i="34"/>
  <c r="X748" i="34"/>
  <c r="X749" i="34"/>
  <c r="X750" i="34"/>
  <c r="X753" i="34"/>
  <c r="X756" i="34"/>
  <c r="X759" i="34"/>
  <c r="X766" i="34"/>
  <c r="X769" i="34"/>
  <c r="X772" i="34"/>
  <c r="X774" i="34"/>
  <c r="Y24" i="34"/>
  <c r="Y41" i="34"/>
  <c r="Y44" i="34"/>
  <c r="Y46" i="34"/>
  <c r="Y49" i="34"/>
  <c r="Y50" i="34"/>
  <c r="Y53" i="34"/>
  <c r="Y56" i="34"/>
  <c r="Y58" i="34"/>
  <c r="Y60" i="34"/>
  <c r="Y64" i="34"/>
  <c r="Y73" i="34"/>
  <c r="Y75" i="34"/>
  <c r="Y83" i="34"/>
  <c r="Y89" i="34"/>
  <c r="Y94" i="34"/>
  <c r="Y95" i="34"/>
  <c r="Y98" i="34"/>
  <c r="Y100" i="34"/>
  <c r="Y107" i="34"/>
  <c r="Y111" i="34"/>
  <c r="Y112" i="34"/>
  <c r="Y118" i="34"/>
  <c r="Y121" i="34"/>
  <c r="Y130" i="34"/>
  <c r="Y132" i="34"/>
  <c r="Y138" i="34"/>
  <c r="Y145" i="34"/>
  <c r="Y149" i="34"/>
  <c r="Y154" i="34"/>
  <c r="Y160" i="34"/>
  <c r="Y164" i="34"/>
  <c r="Y175" i="34"/>
  <c r="Y182" i="34"/>
  <c r="Y187" i="34"/>
  <c r="Y191" i="34"/>
  <c r="Y192" i="34"/>
  <c r="Y194" i="34"/>
  <c r="Y202" i="34"/>
  <c r="Y207" i="34"/>
  <c r="Y211" i="34"/>
  <c r="Y212" i="34"/>
  <c r="Y223" i="34"/>
  <c r="Y229" i="34"/>
  <c r="Y235" i="34"/>
  <c r="Y239" i="34"/>
  <c r="Y243" i="34"/>
  <c r="Y245" i="34"/>
  <c r="Y247" i="34"/>
  <c r="Y251" i="34"/>
  <c r="Y256" i="34"/>
  <c r="Y257" i="34"/>
  <c r="Y258" i="34"/>
  <c r="Y263" i="34"/>
  <c r="Y269" i="34"/>
  <c r="Y272" i="34"/>
  <c r="Y273" i="34"/>
  <c r="Y276" i="34"/>
  <c r="Y281" i="34"/>
  <c r="Y284" i="34"/>
  <c r="Y287" i="34"/>
  <c r="Y289" i="34"/>
  <c r="Y292" i="34"/>
  <c r="Y298" i="34"/>
  <c r="Y300" i="34"/>
  <c r="Y302" i="34"/>
  <c r="Y306" i="34"/>
  <c r="Y313" i="34"/>
  <c r="Y315" i="34"/>
  <c r="Y316" i="34"/>
  <c r="Y318" i="34"/>
  <c r="Y320" i="34"/>
  <c r="Y324" i="34"/>
  <c r="Y326" i="34"/>
  <c r="Y329" i="34"/>
  <c r="Y330" i="34"/>
  <c r="Y333" i="34"/>
  <c r="Y339" i="34"/>
  <c r="Y343" i="34"/>
  <c r="Y345" i="34"/>
  <c r="Y347" i="34"/>
  <c r="Y349" i="34"/>
  <c r="Y350" i="34"/>
  <c r="Y351" i="34"/>
  <c r="Y354" i="34"/>
  <c r="Y361" i="34"/>
  <c r="Y366" i="34"/>
  <c r="Y370" i="34"/>
  <c r="Y376" i="34"/>
  <c r="Y379" i="34"/>
  <c r="Y380" i="34"/>
  <c r="Y383" i="34"/>
  <c r="Y386" i="34"/>
  <c r="Y392" i="34"/>
  <c r="Y397" i="34"/>
  <c r="Y401" i="34"/>
  <c r="Y403" i="34"/>
  <c r="Y409" i="34"/>
  <c r="Y414" i="34"/>
  <c r="Y419" i="34"/>
  <c r="Y429" i="34"/>
  <c r="Y435" i="34"/>
  <c r="Y439" i="34"/>
  <c r="Y442" i="34"/>
  <c r="Y446" i="34"/>
  <c r="Y448" i="34"/>
  <c r="Y450" i="34"/>
  <c r="Y452" i="34"/>
  <c r="Y458" i="34"/>
  <c r="Y462" i="34"/>
  <c r="Y464" i="34"/>
  <c r="Y465" i="34"/>
  <c r="Y468" i="34"/>
  <c r="Y471" i="34"/>
  <c r="Y474" i="34"/>
  <c r="Y476" i="34"/>
  <c r="Y478" i="34"/>
  <c r="Y483" i="34"/>
  <c r="Y488" i="34"/>
  <c r="Y492" i="34"/>
  <c r="Y494" i="34"/>
  <c r="Y495" i="34"/>
  <c r="Y503" i="34"/>
  <c r="Y505" i="34"/>
  <c r="Y509" i="34"/>
  <c r="Y510" i="34"/>
  <c r="Y512" i="34"/>
  <c r="Y515" i="34"/>
  <c r="Y517" i="34"/>
  <c r="Y520" i="34"/>
  <c r="Y522" i="34"/>
  <c r="Y524" i="34"/>
  <c r="Y528" i="34"/>
  <c r="Y529" i="34"/>
  <c r="Y534" i="34"/>
  <c r="Y540" i="34"/>
  <c r="Y542" i="34"/>
  <c r="Y546" i="34"/>
  <c r="Y547" i="34"/>
  <c r="Y552" i="34"/>
  <c r="Y558" i="34"/>
  <c r="Y568" i="34"/>
  <c r="Y570" i="34"/>
  <c r="Y572" i="34"/>
  <c r="Y575" i="34"/>
  <c r="Y587" i="34"/>
  <c r="Y591" i="34"/>
  <c r="Y596" i="34"/>
  <c r="Y598" i="34"/>
  <c r="Y599" i="34"/>
  <c r="Y602" i="34"/>
  <c r="Y607" i="34"/>
  <c r="Y612" i="34"/>
  <c r="Y614" i="34"/>
  <c r="Y615" i="34"/>
  <c r="Y619" i="34"/>
  <c r="Y623" i="34"/>
  <c r="Y627" i="34"/>
  <c r="Y630" i="34"/>
  <c r="Y632" i="34"/>
  <c r="Y639" i="34"/>
  <c r="Y646" i="34"/>
  <c r="Y647" i="34"/>
  <c r="Y654" i="34"/>
  <c r="Y656" i="34"/>
  <c r="Y658" i="34"/>
  <c r="Y660" i="34"/>
  <c r="Y665" i="34"/>
  <c r="Y668" i="34"/>
  <c r="Y670" i="34"/>
  <c r="Y673" i="34"/>
  <c r="Y676" i="34"/>
  <c r="Y678" i="34"/>
  <c r="Y681" i="34"/>
  <c r="Y692" i="34"/>
  <c r="Y703" i="34"/>
  <c r="Y708" i="34"/>
  <c r="Y710" i="34"/>
  <c r="Y714" i="34"/>
  <c r="Y716" i="34"/>
  <c r="Y724" i="34"/>
  <c r="Y727" i="34"/>
  <c r="Y729" i="34"/>
  <c r="Y733" i="34"/>
  <c r="Y735" i="34"/>
  <c r="Y738" i="34"/>
  <c r="Y744" i="34"/>
  <c r="Y748" i="34"/>
  <c r="Y749" i="34"/>
  <c r="Y750" i="34"/>
  <c r="Y753" i="34"/>
  <c r="Y756" i="34"/>
  <c r="Y759" i="34"/>
  <c r="Y766" i="34"/>
  <c r="Y769" i="34"/>
  <c r="Y772" i="34"/>
  <c r="Y774" i="34"/>
  <c r="Z24" i="34"/>
  <c r="Z41" i="34"/>
  <c r="Z44" i="34"/>
  <c r="Z46" i="34"/>
  <c r="Z49" i="34"/>
  <c r="Z50" i="34"/>
  <c r="Z53" i="34"/>
  <c r="Z56" i="34"/>
  <c r="Z58" i="34"/>
  <c r="Z60" i="34"/>
  <c r="Z64" i="34"/>
  <c r="Z73" i="34"/>
  <c r="Z75" i="34"/>
  <c r="Z83" i="34"/>
  <c r="Z89" i="34"/>
  <c r="Z94" i="34"/>
  <c r="Z95" i="34"/>
  <c r="Z98" i="34"/>
  <c r="Z100" i="34"/>
  <c r="Z107" i="34"/>
  <c r="Z111" i="34"/>
  <c r="Z112" i="34"/>
  <c r="Z118" i="34"/>
  <c r="Z121" i="34"/>
  <c r="Z130" i="34"/>
  <c r="Z132" i="34"/>
  <c r="Z138" i="34"/>
  <c r="Z145" i="34"/>
  <c r="Z149" i="34"/>
  <c r="Z154" i="34"/>
  <c r="Z160" i="34"/>
  <c r="Z164" i="34"/>
  <c r="Z175" i="34"/>
  <c r="Z182" i="34"/>
  <c r="Z187" i="34"/>
  <c r="Z191" i="34"/>
  <c r="Z192" i="34"/>
  <c r="Z194" i="34"/>
  <c r="Z202" i="34"/>
  <c r="Z207" i="34"/>
  <c r="Z211" i="34"/>
  <c r="Z212" i="34"/>
  <c r="Z223" i="34"/>
  <c r="Z229" i="34"/>
  <c r="Z235" i="34"/>
  <c r="Z239" i="34"/>
  <c r="Z243" i="34"/>
  <c r="Z245" i="34"/>
  <c r="Z247" i="34"/>
  <c r="Z251" i="34"/>
  <c r="Z256" i="34"/>
  <c r="Z257" i="34"/>
  <c r="Z258" i="34"/>
  <c r="Z263" i="34"/>
  <c r="Z269" i="34"/>
  <c r="Z272" i="34"/>
  <c r="Z273" i="34"/>
  <c r="Z276" i="34"/>
  <c r="Z281" i="34"/>
  <c r="Z284" i="34"/>
  <c r="Z287" i="34"/>
  <c r="Z289" i="34"/>
  <c r="Z292" i="34"/>
  <c r="Z298" i="34"/>
  <c r="Z300" i="34"/>
  <c r="Z302" i="34"/>
  <c r="Z306" i="34"/>
  <c r="Z313" i="34"/>
  <c r="Z315" i="34"/>
  <c r="Z316" i="34"/>
  <c r="Z318" i="34"/>
  <c r="Z320" i="34"/>
  <c r="Z324" i="34"/>
  <c r="Z326" i="34"/>
  <c r="Z329" i="34"/>
  <c r="Z330" i="34"/>
  <c r="Z333" i="34"/>
  <c r="Z339" i="34"/>
  <c r="Z343" i="34"/>
  <c r="Z345" i="34"/>
  <c r="Z347" i="34"/>
  <c r="Z349" i="34"/>
  <c r="Z350" i="34"/>
  <c r="Z351" i="34"/>
  <c r="Z354" i="34"/>
  <c r="Z361" i="34"/>
  <c r="Z366" i="34"/>
  <c r="Z370" i="34"/>
  <c r="Z376" i="34"/>
  <c r="Z379" i="34"/>
  <c r="Z380" i="34"/>
  <c r="Z383" i="34"/>
  <c r="Z386" i="34"/>
  <c r="Z392" i="34"/>
  <c r="Z397" i="34"/>
  <c r="Z401" i="34"/>
  <c r="Z403" i="34"/>
  <c r="Z409" i="34"/>
  <c r="Z414" i="34"/>
  <c r="Z419" i="34"/>
  <c r="Z429" i="34"/>
  <c r="Z435" i="34"/>
  <c r="Z439" i="34"/>
  <c r="Z442" i="34"/>
  <c r="Z446" i="34"/>
  <c r="Z448" i="34"/>
  <c r="Z450" i="34"/>
  <c r="Z452" i="34"/>
  <c r="Z458" i="34"/>
  <c r="Z462" i="34"/>
  <c r="Z464" i="34"/>
  <c r="Z465" i="34"/>
  <c r="Z468" i="34"/>
  <c r="Z471" i="34"/>
  <c r="Z474" i="34"/>
  <c r="Z476" i="34"/>
  <c r="Z478" i="34"/>
  <c r="Z483" i="34"/>
  <c r="Z488" i="34"/>
  <c r="Z492" i="34"/>
  <c r="Z494" i="34"/>
  <c r="Z495" i="34"/>
  <c r="Z503" i="34"/>
  <c r="Z505" i="34"/>
  <c r="Z509" i="34"/>
  <c r="Z510" i="34"/>
  <c r="Z512" i="34"/>
  <c r="Z515" i="34"/>
  <c r="Z517" i="34"/>
  <c r="Z520" i="34"/>
  <c r="Z522" i="34"/>
  <c r="Z524" i="34"/>
  <c r="Z528" i="34"/>
  <c r="Z529" i="34"/>
  <c r="Z534" i="34"/>
  <c r="Z540" i="34"/>
  <c r="Z542" i="34"/>
  <c r="Z546" i="34"/>
  <c r="Z547" i="34"/>
  <c r="Z552" i="34"/>
  <c r="Z558" i="34"/>
  <c r="Z568" i="34"/>
  <c r="Z570" i="34"/>
  <c r="Z572" i="34"/>
  <c r="Z575" i="34"/>
  <c r="Z587" i="34"/>
  <c r="Z591" i="34"/>
  <c r="Z596" i="34"/>
  <c r="Z598" i="34"/>
  <c r="Z599" i="34"/>
  <c r="Z602" i="34"/>
  <c r="Z607" i="34"/>
  <c r="Z612" i="34"/>
  <c r="Z614" i="34"/>
  <c r="Z615" i="34"/>
  <c r="Z619" i="34"/>
  <c r="Z623" i="34"/>
  <c r="Z627" i="34"/>
  <c r="Z630" i="34"/>
  <c r="Z632" i="34"/>
  <c r="Z639" i="34"/>
  <c r="Z646" i="34"/>
  <c r="Z647" i="34"/>
  <c r="Z654" i="34"/>
  <c r="Z656" i="34"/>
  <c r="Z658" i="34"/>
  <c r="Z660" i="34"/>
  <c r="Z665" i="34"/>
  <c r="Z668" i="34"/>
  <c r="Z670" i="34"/>
  <c r="Z673" i="34"/>
  <c r="Z676" i="34"/>
  <c r="Z678" i="34"/>
  <c r="Z681" i="34"/>
  <c r="Z692" i="34"/>
  <c r="Z703" i="34"/>
  <c r="Z708" i="34"/>
  <c r="Z710" i="34"/>
  <c r="Z714" i="34"/>
  <c r="Z716" i="34"/>
  <c r="Z724" i="34"/>
  <c r="Z727" i="34"/>
  <c r="Z729" i="34"/>
  <c r="Z733" i="34"/>
  <c r="Z735" i="34"/>
  <c r="Z738" i="34"/>
  <c r="Z744" i="34"/>
  <c r="Z748" i="34"/>
  <c r="Z749" i="34"/>
  <c r="Z750" i="34"/>
  <c r="Z753" i="34"/>
  <c r="Z756" i="34"/>
  <c r="Z759" i="34"/>
  <c r="Z766" i="34"/>
  <c r="Z769" i="34"/>
  <c r="Z772" i="34"/>
  <c r="Z774" i="34"/>
  <c r="AA24" i="34"/>
  <c r="AA41" i="34"/>
  <c r="AA44" i="34"/>
  <c r="AA46" i="34"/>
  <c r="AA49" i="34"/>
  <c r="AA50" i="34"/>
  <c r="AA53" i="34"/>
  <c r="AA56" i="34"/>
  <c r="AA58" i="34"/>
  <c r="AA60" i="34"/>
  <c r="AA64" i="34"/>
  <c r="AA73" i="34"/>
  <c r="AA75" i="34"/>
  <c r="AA83" i="34"/>
  <c r="AA89" i="34"/>
  <c r="AA94" i="34"/>
  <c r="AA95" i="34"/>
  <c r="AA98" i="34"/>
  <c r="AA100" i="34"/>
  <c r="AA107" i="34"/>
  <c r="AA111" i="34"/>
  <c r="AA112" i="34"/>
  <c r="AA118" i="34"/>
  <c r="AA121" i="34"/>
  <c r="AA130" i="34"/>
  <c r="AA132" i="34"/>
  <c r="AA138" i="34"/>
  <c r="AA145" i="34"/>
  <c r="AA149" i="34"/>
  <c r="AA154" i="34"/>
  <c r="AA160" i="34"/>
  <c r="AA164" i="34"/>
  <c r="AA175" i="34"/>
  <c r="AA182" i="34"/>
  <c r="AA187" i="34"/>
  <c r="AA191" i="34"/>
  <c r="AA192" i="34"/>
  <c r="AA194" i="34"/>
  <c r="AA202" i="34"/>
  <c r="AA207" i="34"/>
  <c r="AA211" i="34"/>
  <c r="AA212" i="34"/>
  <c r="AA223" i="34"/>
  <c r="AA229" i="34"/>
  <c r="AA235" i="34"/>
  <c r="AA239" i="34"/>
  <c r="AA243" i="34"/>
  <c r="AA245" i="34"/>
  <c r="AA247" i="34"/>
  <c r="AA251" i="34"/>
  <c r="AA256" i="34"/>
  <c r="AA257" i="34"/>
  <c r="AA258" i="34"/>
  <c r="AA263" i="34"/>
  <c r="AA269" i="34"/>
  <c r="AA272" i="34"/>
  <c r="AA273" i="34"/>
  <c r="AA276" i="34"/>
  <c r="AA281" i="34"/>
  <c r="AA284" i="34"/>
  <c r="AA287" i="34"/>
  <c r="AA289" i="34"/>
  <c r="AA292" i="34"/>
  <c r="AA298" i="34"/>
  <c r="AA300" i="34"/>
  <c r="AA302" i="34"/>
  <c r="AA306" i="34"/>
  <c r="AA313" i="34"/>
  <c r="AA315" i="34"/>
  <c r="AA316" i="34"/>
  <c r="AA318" i="34"/>
  <c r="AA320" i="34"/>
  <c r="AA324" i="34"/>
  <c r="AA326" i="34"/>
  <c r="AA329" i="34"/>
  <c r="AA330" i="34"/>
  <c r="AA333" i="34"/>
  <c r="AA339" i="34"/>
  <c r="AA343" i="34"/>
  <c r="AA345" i="34"/>
  <c r="AA347" i="34"/>
  <c r="AA349" i="34"/>
  <c r="AA350" i="34"/>
  <c r="AA351" i="34"/>
  <c r="AA354" i="34"/>
  <c r="AA361" i="34"/>
  <c r="AA366" i="34"/>
  <c r="AA370" i="34"/>
  <c r="AA376" i="34"/>
  <c r="AA379" i="34"/>
  <c r="AA380" i="34"/>
  <c r="AA383" i="34"/>
  <c r="AA386" i="34"/>
  <c r="AA392" i="34"/>
  <c r="AA397" i="34"/>
  <c r="AA401" i="34"/>
  <c r="AA403" i="34"/>
  <c r="AA409" i="34"/>
  <c r="AA414" i="34"/>
  <c r="AA419" i="34"/>
  <c r="AA429" i="34"/>
  <c r="AA435" i="34"/>
  <c r="AA439" i="34"/>
  <c r="AA442" i="34"/>
  <c r="AA446" i="34"/>
  <c r="AA448" i="34"/>
  <c r="AA450" i="34"/>
  <c r="AA452" i="34"/>
  <c r="AA458" i="34"/>
  <c r="AA462" i="34"/>
  <c r="AA464" i="34"/>
  <c r="AA465" i="34"/>
  <c r="AA468" i="34"/>
  <c r="AA471" i="34"/>
  <c r="AA474" i="34"/>
  <c r="AA476" i="34"/>
  <c r="AA478" i="34"/>
  <c r="AA483" i="34"/>
  <c r="AA488" i="34"/>
  <c r="AA492" i="34"/>
  <c r="AA494" i="34"/>
  <c r="AA495" i="34"/>
  <c r="AA503" i="34"/>
  <c r="AA505" i="34"/>
  <c r="AA509" i="34"/>
  <c r="AA510" i="34"/>
  <c r="AA512" i="34"/>
  <c r="AA515" i="34"/>
  <c r="AA517" i="34"/>
  <c r="AA520" i="34"/>
  <c r="AA522" i="34"/>
  <c r="AA524" i="34"/>
  <c r="AA528" i="34"/>
  <c r="AA529" i="34"/>
  <c r="AA534" i="34"/>
  <c r="AA540" i="34"/>
  <c r="AA542" i="34"/>
  <c r="AA546" i="34"/>
  <c r="AA547" i="34"/>
  <c r="AA552" i="34"/>
  <c r="AA558" i="34"/>
  <c r="AA568" i="34"/>
  <c r="AA570" i="34"/>
  <c r="AA572" i="34"/>
  <c r="AA575" i="34"/>
  <c r="AA587" i="34"/>
  <c r="AA591" i="34"/>
  <c r="AA596" i="34"/>
  <c r="AA598" i="34"/>
  <c r="AA599" i="34"/>
  <c r="AA602" i="34"/>
  <c r="AA607" i="34"/>
  <c r="AA612" i="34"/>
  <c r="AA614" i="34"/>
  <c r="AA615" i="34"/>
  <c r="AA619" i="34"/>
  <c r="AA623" i="34"/>
  <c r="AA627" i="34"/>
  <c r="AA630" i="34"/>
  <c r="AA632" i="34"/>
  <c r="AA639" i="34"/>
  <c r="AA646" i="34"/>
  <c r="AA647" i="34"/>
  <c r="AA654" i="34"/>
  <c r="AA656" i="34"/>
  <c r="AA658" i="34"/>
  <c r="AA660" i="34"/>
  <c r="AA665" i="34"/>
  <c r="AA668" i="34"/>
  <c r="AA670" i="34"/>
  <c r="AA673" i="34"/>
  <c r="AA676" i="34"/>
  <c r="AA678" i="34"/>
  <c r="AA681" i="34"/>
  <c r="AA692" i="34"/>
  <c r="AA703" i="34"/>
  <c r="AA708" i="34"/>
  <c r="AA710" i="34"/>
  <c r="AA714" i="34"/>
  <c r="AA716" i="34"/>
  <c r="AA724" i="34"/>
  <c r="AA727" i="34"/>
  <c r="AA729" i="34"/>
  <c r="AA733" i="34"/>
  <c r="AA735" i="34"/>
  <c r="AA738" i="34"/>
  <c r="AA744" i="34"/>
  <c r="AA748" i="34"/>
  <c r="AA749" i="34"/>
  <c r="AA750" i="34"/>
  <c r="AA753" i="34"/>
  <c r="AA756" i="34"/>
  <c r="AA759" i="34"/>
  <c r="AA766" i="34"/>
  <c r="AA769" i="34"/>
  <c r="AA772" i="34"/>
  <c r="AA774" i="34"/>
  <c r="AB24" i="34"/>
  <c r="AB41" i="34"/>
  <c r="AB44" i="34"/>
  <c r="AB46" i="34"/>
  <c r="AB49" i="34"/>
  <c r="AB50" i="34"/>
  <c r="AB53" i="34"/>
  <c r="AB56" i="34"/>
  <c r="AB58" i="34"/>
  <c r="AB60" i="34"/>
  <c r="AB64" i="34"/>
  <c r="AB73" i="34"/>
  <c r="AB75" i="34"/>
  <c r="AB83" i="34"/>
  <c r="AB89" i="34"/>
  <c r="AB94" i="34"/>
  <c r="AB95" i="34"/>
  <c r="AB98" i="34"/>
  <c r="AB100" i="34"/>
  <c r="AB107" i="34"/>
  <c r="AB111" i="34"/>
  <c r="AB112" i="34"/>
  <c r="AB118" i="34"/>
  <c r="AB121" i="34"/>
  <c r="AB130" i="34"/>
  <c r="AB132" i="34"/>
  <c r="AB138" i="34"/>
  <c r="AB145" i="34"/>
  <c r="AB149" i="34"/>
  <c r="AB154" i="34"/>
  <c r="AB160" i="34"/>
  <c r="AB164" i="34"/>
  <c r="AB175" i="34"/>
  <c r="AB182" i="34"/>
  <c r="AB187" i="34"/>
  <c r="AB191" i="34"/>
  <c r="AB192" i="34"/>
  <c r="AB194" i="34"/>
  <c r="AB202" i="34"/>
  <c r="AB207" i="34"/>
  <c r="AB211" i="34"/>
  <c r="AB212" i="34"/>
  <c r="AB223" i="34"/>
  <c r="AB229" i="34"/>
  <c r="AB235" i="34"/>
  <c r="AB239" i="34"/>
  <c r="AB243" i="34"/>
  <c r="AB245" i="34"/>
  <c r="AB247" i="34"/>
  <c r="AB251" i="34"/>
  <c r="AB256" i="34"/>
  <c r="AB257" i="34"/>
  <c r="AB258" i="34"/>
  <c r="AB263" i="34"/>
  <c r="AB269" i="34"/>
  <c r="AB272" i="34"/>
  <c r="AB273" i="34"/>
  <c r="AB276" i="34"/>
  <c r="AB281" i="34"/>
  <c r="AB284" i="34"/>
  <c r="AB287" i="34"/>
  <c r="AB289" i="34"/>
  <c r="AB292" i="34"/>
  <c r="AB298" i="34"/>
  <c r="AB300" i="34"/>
  <c r="AB302" i="34"/>
  <c r="AB306" i="34"/>
  <c r="AB313" i="34"/>
  <c r="AB315" i="34"/>
  <c r="AB316" i="34"/>
  <c r="AB318" i="34"/>
  <c r="AB320" i="34"/>
  <c r="AB324" i="34"/>
  <c r="AB326" i="34"/>
  <c r="AB329" i="34"/>
  <c r="AB330" i="34"/>
  <c r="AB333" i="34"/>
  <c r="AB339" i="34"/>
  <c r="AB343" i="34"/>
  <c r="AB345" i="34"/>
  <c r="AB347" i="34"/>
  <c r="AB349" i="34"/>
  <c r="AB350" i="34"/>
  <c r="AB351" i="34"/>
  <c r="AB354" i="34"/>
  <c r="AB361" i="34"/>
  <c r="AB366" i="34"/>
  <c r="AB370" i="34"/>
  <c r="AB376" i="34"/>
  <c r="AB379" i="34"/>
  <c r="AB380" i="34"/>
  <c r="AB383" i="34"/>
  <c r="AB386" i="34"/>
  <c r="AB392" i="34"/>
  <c r="AB397" i="34"/>
  <c r="AB401" i="34"/>
  <c r="AB403" i="34"/>
  <c r="AB409" i="34"/>
  <c r="AB414" i="34"/>
  <c r="AB419" i="34"/>
  <c r="AB429" i="34"/>
  <c r="AB435" i="34"/>
  <c r="AB439" i="34"/>
  <c r="AB442" i="34"/>
  <c r="AB446" i="34"/>
  <c r="AB448" i="34"/>
  <c r="AB450" i="34"/>
  <c r="AB452" i="34"/>
  <c r="AB458" i="34"/>
  <c r="AB462" i="34"/>
  <c r="AB464" i="34"/>
  <c r="AB465" i="34"/>
  <c r="AB468" i="34"/>
  <c r="AB471" i="34"/>
  <c r="AB474" i="34"/>
  <c r="AB476" i="34"/>
  <c r="AB478" i="34"/>
  <c r="AB483" i="34"/>
  <c r="AB488" i="34"/>
  <c r="AB492" i="34"/>
  <c r="AB494" i="34"/>
  <c r="AB495" i="34"/>
  <c r="AB503" i="34"/>
  <c r="AB505" i="34"/>
  <c r="AB509" i="34"/>
  <c r="AB510" i="34"/>
  <c r="AB512" i="34"/>
  <c r="AB515" i="34"/>
  <c r="AB517" i="34"/>
  <c r="AB520" i="34"/>
  <c r="AB522" i="34"/>
  <c r="AB524" i="34"/>
  <c r="AB528" i="34"/>
  <c r="AB529" i="34"/>
  <c r="AB534" i="34"/>
  <c r="AB540" i="34"/>
  <c r="AB542" i="34"/>
  <c r="AB546" i="34"/>
  <c r="AB547" i="34"/>
  <c r="AB552" i="34"/>
  <c r="AB558" i="34"/>
  <c r="AB568" i="34"/>
  <c r="AB570" i="34"/>
  <c r="AB572" i="34"/>
  <c r="AB575" i="34"/>
  <c r="AB587" i="34"/>
  <c r="AB591" i="34"/>
  <c r="AB596" i="34"/>
  <c r="AB598" i="34"/>
  <c r="AB599" i="34"/>
  <c r="AB602" i="34"/>
  <c r="AB607" i="34"/>
  <c r="AB612" i="34"/>
  <c r="AB614" i="34"/>
  <c r="AB615" i="34"/>
  <c r="AB619" i="34"/>
  <c r="AB623" i="34"/>
  <c r="AB627" i="34"/>
  <c r="AB630" i="34"/>
  <c r="AB632" i="34"/>
  <c r="AB639" i="34"/>
  <c r="AB646" i="34"/>
  <c r="AB647" i="34"/>
  <c r="AB654" i="34"/>
  <c r="AB656" i="34"/>
  <c r="AB658" i="34"/>
  <c r="AB660" i="34"/>
  <c r="AB665" i="34"/>
  <c r="AB668" i="34"/>
  <c r="AB670" i="34"/>
  <c r="AB673" i="34"/>
  <c r="AB676" i="34"/>
  <c r="AB678" i="34"/>
  <c r="AB681" i="34"/>
  <c r="AB692" i="34"/>
  <c r="AB703" i="34"/>
  <c r="AB708" i="34"/>
  <c r="AB710" i="34"/>
  <c r="AB714" i="34"/>
  <c r="AB716" i="34"/>
  <c r="AB724" i="34"/>
  <c r="AB727" i="34"/>
  <c r="AB729" i="34"/>
  <c r="AB733" i="34"/>
  <c r="AB735" i="34"/>
  <c r="AB738" i="34"/>
  <c r="AB744" i="34"/>
  <c r="AB748" i="34"/>
  <c r="AB749" i="34"/>
  <c r="AB750" i="34"/>
  <c r="AB753" i="34"/>
  <c r="AB756" i="34"/>
  <c r="AB759" i="34"/>
  <c r="AB766" i="34"/>
  <c r="AB769" i="34"/>
  <c r="AB772" i="34"/>
  <c r="AB774" i="34"/>
  <c r="AC24" i="34"/>
  <c r="AC41" i="34"/>
  <c r="AC44" i="34"/>
  <c r="AC46" i="34"/>
  <c r="AC49" i="34"/>
  <c r="AC50" i="34"/>
  <c r="AC53" i="34"/>
  <c r="AC56" i="34"/>
  <c r="AC58" i="34"/>
  <c r="AC60" i="34"/>
  <c r="AC64" i="34"/>
  <c r="AC73" i="34"/>
  <c r="AC75" i="34"/>
  <c r="AC83" i="34"/>
  <c r="AC89" i="34"/>
  <c r="AC94" i="34"/>
  <c r="AC95" i="34"/>
  <c r="AC98" i="34"/>
  <c r="AC100" i="34"/>
  <c r="AC107" i="34"/>
  <c r="AC111" i="34"/>
  <c r="AC112" i="34"/>
  <c r="AC118" i="34"/>
  <c r="AC121" i="34"/>
  <c r="AC130" i="34"/>
  <c r="AC132" i="34"/>
  <c r="AC138" i="34"/>
  <c r="AC145" i="34"/>
  <c r="AC149" i="34"/>
  <c r="AC154" i="34"/>
  <c r="AC160" i="34"/>
  <c r="AC164" i="34"/>
  <c r="AC175" i="34"/>
  <c r="AC182" i="34"/>
  <c r="AC187" i="34"/>
  <c r="AC191" i="34"/>
  <c r="AC192" i="34"/>
  <c r="AC194" i="34"/>
  <c r="AC202" i="34"/>
  <c r="AC207" i="34"/>
  <c r="AC211" i="34"/>
  <c r="AC212" i="34"/>
  <c r="AC223" i="34"/>
  <c r="AC229" i="34"/>
  <c r="AC235" i="34"/>
  <c r="AC239" i="34"/>
  <c r="AC243" i="34"/>
  <c r="AC245" i="34"/>
  <c r="AC247" i="34"/>
  <c r="AC251" i="34"/>
  <c r="AC256" i="34"/>
  <c r="AC257" i="34"/>
  <c r="AC258" i="34"/>
  <c r="AC263" i="34"/>
  <c r="AC269" i="34"/>
  <c r="AC272" i="34"/>
  <c r="AC273" i="34"/>
  <c r="AC276" i="34"/>
  <c r="AC281" i="34"/>
  <c r="AC284" i="34"/>
  <c r="AC287" i="34"/>
  <c r="AC289" i="34"/>
  <c r="AC292" i="34"/>
  <c r="AC298" i="34"/>
  <c r="AC300" i="34"/>
  <c r="AC302" i="34"/>
  <c r="AC306" i="34"/>
  <c r="AC313" i="34"/>
  <c r="AC315" i="34"/>
  <c r="AC316" i="34"/>
  <c r="AC318" i="34"/>
  <c r="AC320" i="34"/>
  <c r="AC324" i="34"/>
  <c r="AC326" i="34"/>
  <c r="AC329" i="34"/>
  <c r="AC330" i="34"/>
  <c r="AC333" i="34"/>
  <c r="AC339" i="34"/>
  <c r="AC343" i="34"/>
  <c r="AC345" i="34"/>
  <c r="AC347" i="34"/>
  <c r="AC349" i="34"/>
  <c r="AC350" i="34"/>
  <c r="AC351" i="34"/>
  <c r="AC354" i="34"/>
  <c r="AC361" i="34"/>
  <c r="AC366" i="34"/>
  <c r="AC370" i="34"/>
  <c r="AC376" i="34"/>
  <c r="AC379" i="34"/>
  <c r="AC380" i="34"/>
  <c r="AC383" i="34"/>
  <c r="AC386" i="34"/>
  <c r="AC392" i="34"/>
  <c r="AC397" i="34"/>
  <c r="AC401" i="34"/>
  <c r="AC403" i="34"/>
  <c r="AC409" i="34"/>
  <c r="AC414" i="34"/>
  <c r="AC419" i="34"/>
  <c r="AC429" i="34"/>
  <c r="AC435" i="34"/>
  <c r="AC439" i="34"/>
  <c r="AC442" i="34"/>
  <c r="AC446" i="34"/>
  <c r="AC448" i="34"/>
  <c r="AC450" i="34"/>
  <c r="AC452" i="34"/>
  <c r="AC458" i="34"/>
  <c r="AC462" i="34"/>
  <c r="AC464" i="34"/>
  <c r="AC465" i="34"/>
  <c r="AC468" i="34"/>
  <c r="AC471" i="34"/>
  <c r="AC474" i="34"/>
  <c r="AC476" i="34"/>
  <c r="AC478" i="34"/>
  <c r="AC483" i="34"/>
  <c r="AC488" i="34"/>
  <c r="AC492" i="34"/>
  <c r="AC494" i="34"/>
  <c r="AC495" i="34"/>
  <c r="AC503" i="34"/>
  <c r="AC505" i="34"/>
  <c r="AC509" i="34"/>
  <c r="AC510" i="34"/>
  <c r="AC512" i="34"/>
  <c r="AC515" i="34"/>
  <c r="AC517" i="34"/>
  <c r="AC520" i="34"/>
  <c r="AC522" i="34"/>
  <c r="AC524" i="34"/>
  <c r="AC528" i="34"/>
  <c r="AC529" i="34"/>
  <c r="AC534" i="34"/>
  <c r="AC540" i="34"/>
  <c r="AC542" i="34"/>
  <c r="AC546" i="34"/>
  <c r="AC547" i="34"/>
  <c r="AC552" i="34"/>
  <c r="AC558" i="34"/>
  <c r="AC568" i="34"/>
  <c r="AC570" i="34"/>
  <c r="AC572" i="34"/>
  <c r="AC575" i="34"/>
  <c r="AC587" i="34"/>
  <c r="AC591" i="34"/>
  <c r="AC596" i="34"/>
  <c r="AC598" i="34"/>
  <c r="AC599" i="34"/>
  <c r="AC602" i="34"/>
  <c r="AC607" i="34"/>
  <c r="AC612" i="34"/>
  <c r="AC614" i="34"/>
  <c r="AC615" i="34"/>
  <c r="AC619" i="34"/>
  <c r="AC623" i="34"/>
  <c r="AC627" i="34"/>
  <c r="AC630" i="34"/>
  <c r="AC632" i="34"/>
  <c r="AC639" i="34"/>
  <c r="AC646" i="34"/>
  <c r="AC647" i="34"/>
  <c r="AC654" i="34"/>
  <c r="AC656" i="34"/>
  <c r="AC658" i="34"/>
  <c r="AC660" i="34"/>
  <c r="AC665" i="34"/>
  <c r="AC668" i="34"/>
  <c r="AC670" i="34"/>
  <c r="AC673" i="34"/>
  <c r="AC676" i="34"/>
  <c r="AC678" i="34"/>
  <c r="AC681" i="34"/>
  <c r="AC692" i="34"/>
  <c r="AC703" i="34"/>
  <c r="AC708" i="34"/>
  <c r="AC710" i="34"/>
  <c r="AC714" i="34"/>
  <c r="AC716" i="34"/>
  <c r="AC724" i="34"/>
  <c r="AC727" i="34"/>
  <c r="AC729" i="34"/>
  <c r="AC733" i="34"/>
  <c r="AC735" i="34"/>
  <c r="AC738" i="34"/>
  <c r="AC744" i="34"/>
  <c r="AC748" i="34"/>
  <c r="AC749" i="34"/>
  <c r="AC750" i="34"/>
  <c r="AC753" i="34"/>
  <c r="AC756" i="34"/>
  <c r="AC759" i="34"/>
  <c r="AC766" i="34"/>
  <c r="AC769" i="34"/>
  <c r="AC772" i="34"/>
  <c r="AC774" i="34"/>
  <c r="AD24" i="34"/>
  <c r="AD41" i="34"/>
  <c r="AD44" i="34"/>
  <c r="AD46" i="34"/>
  <c r="AD49" i="34"/>
  <c r="AD50" i="34"/>
  <c r="AD53" i="34"/>
  <c r="AD56" i="34"/>
  <c r="AD58" i="34"/>
  <c r="AD60" i="34"/>
  <c r="AD64" i="34"/>
  <c r="AD73" i="34"/>
  <c r="AD75" i="34"/>
  <c r="AD83" i="34"/>
  <c r="AD89" i="34"/>
  <c r="AD94" i="34"/>
  <c r="AD95" i="34"/>
  <c r="AD98" i="34"/>
  <c r="AD100" i="34"/>
  <c r="AD107" i="34"/>
  <c r="AD111" i="34"/>
  <c r="AD112" i="34"/>
  <c r="AD118" i="34"/>
  <c r="AD121" i="34"/>
  <c r="AD130" i="34"/>
  <c r="AD132" i="34"/>
  <c r="AD138" i="34"/>
  <c r="AD145" i="34"/>
  <c r="AD149" i="34"/>
  <c r="AD154" i="34"/>
  <c r="AD160" i="34"/>
  <c r="AD164" i="34"/>
  <c r="AD175" i="34"/>
  <c r="AD182" i="34"/>
  <c r="AD187" i="34"/>
  <c r="AD191" i="34"/>
  <c r="AD192" i="34"/>
  <c r="AD194" i="34"/>
  <c r="AD202" i="34"/>
  <c r="AD207" i="34"/>
  <c r="AD211" i="34"/>
  <c r="AD212" i="34"/>
  <c r="AD223" i="34"/>
  <c r="AD229" i="34"/>
  <c r="AD235" i="34"/>
  <c r="AD239" i="34"/>
  <c r="AD243" i="34"/>
  <c r="AD245" i="34"/>
  <c r="AD247" i="34"/>
  <c r="AD251" i="34"/>
  <c r="AD256" i="34"/>
  <c r="AD257" i="34"/>
  <c r="AD258" i="34"/>
  <c r="AD263" i="34"/>
  <c r="AD269" i="34"/>
  <c r="AD272" i="34"/>
  <c r="AD273" i="34"/>
  <c r="AD276" i="34"/>
  <c r="AD281" i="34"/>
  <c r="AD284" i="34"/>
  <c r="AD287" i="34"/>
  <c r="AD289" i="34"/>
  <c r="AD292" i="34"/>
  <c r="AD298" i="34"/>
  <c r="AD300" i="34"/>
  <c r="AD302" i="34"/>
  <c r="AD306" i="34"/>
  <c r="AD313" i="34"/>
  <c r="AD315" i="34"/>
  <c r="AD316" i="34"/>
  <c r="AD318" i="34"/>
  <c r="AD320" i="34"/>
  <c r="AD324" i="34"/>
  <c r="AD326" i="34"/>
  <c r="AD329" i="34"/>
  <c r="AD330" i="34"/>
  <c r="AD333" i="34"/>
  <c r="AD339" i="34"/>
  <c r="AD343" i="34"/>
  <c r="AD345" i="34"/>
  <c r="AD347" i="34"/>
  <c r="AD349" i="34"/>
  <c r="AD350" i="34"/>
  <c r="AD351" i="34"/>
  <c r="AD354" i="34"/>
  <c r="AD361" i="34"/>
  <c r="AD366" i="34"/>
  <c r="AD370" i="34"/>
  <c r="AD376" i="34"/>
  <c r="AD379" i="34"/>
  <c r="AD380" i="34"/>
  <c r="AD383" i="34"/>
  <c r="AD386" i="34"/>
  <c r="AD392" i="34"/>
  <c r="AD397" i="34"/>
  <c r="AD401" i="34"/>
  <c r="AD403" i="34"/>
  <c r="AD409" i="34"/>
  <c r="AD414" i="34"/>
  <c r="AD419" i="34"/>
  <c r="AD429" i="34"/>
  <c r="AD435" i="34"/>
  <c r="AD439" i="34"/>
  <c r="AD442" i="34"/>
  <c r="AD446" i="34"/>
  <c r="AD448" i="34"/>
  <c r="AD450" i="34"/>
  <c r="AD452" i="34"/>
  <c r="AD458" i="34"/>
  <c r="AD462" i="34"/>
  <c r="AD464" i="34"/>
  <c r="AD465" i="34"/>
  <c r="AD468" i="34"/>
  <c r="AD471" i="34"/>
  <c r="AD474" i="34"/>
  <c r="AD476" i="34"/>
  <c r="AD478" i="34"/>
  <c r="AD483" i="34"/>
  <c r="AD488" i="34"/>
  <c r="AD492" i="34"/>
  <c r="AD494" i="34"/>
  <c r="AD495" i="34"/>
  <c r="AD503" i="34"/>
  <c r="AD505" i="34"/>
  <c r="AD509" i="34"/>
  <c r="AD510" i="34"/>
  <c r="AD512" i="34"/>
  <c r="AD515" i="34"/>
  <c r="AD517" i="34"/>
  <c r="AD520" i="34"/>
  <c r="AD522" i="34"/>
  <c r="AD524" i="34"/>
  <c r="AD528" i="34"/>
  <c r="AD529" i="34"/>
  <c r="AD534" i="34"/>
  <c r="AD540" i="34"/>
  <c r="AD542" i="34"/>
  <c r="AD546" i="34"/>
  <c r="AD547" i="34"/>
  <c r="AD552" i="34"/>
  <c r="AD558" i="34"/>
  <c r="AD568" i="34"/>
  <c r="AD570" i="34"/>
  <c r="AD572" i="34"/>
  <c r="AD575" i="34"/>
  <c r="AD587" i="34"/>
  <c r="AD591" i="34"/>
  <c r="AD596" i="34"/>
  <c r="AD598" i="34"/>
  <c r="AD599" i="34"/>
  <c r="AD602" i="34"/>
  <c r="AD607" i="34"/>
  <c r="AD612" i="34"/>
  <c r="AD614" i="34"/>
  <c r="AD615" i="34"/>
  <c r="AD619" i="34"/>
  <c r="AD623" i="34"/>
  <c r="AD627" i="34"/>
  <c r="AD630" i="34"/>
  <c r="AD632" i="34"/>
  <c r="AD639" i="34"/>
  <c r="AD646" i="34"/>
  <c r="AD647" i="34"/>
  <c r="AD654" i="34"/>
  <c r="AD656" i="34"/>
  <c r="AD658" i="34"/>
  <c r="AD660" i="34"/>
  <c r="AD665" i="34"/>
  <c r="AD668" i="34"/>
  <c r="AD670" i="34"/>
  <c r="AD673" i="34"/>
  <c r="AD676" i="34"/>
  <c r="AD678" i="34"/>
  <c r="AD681" i="34"/>
  <c r="AD692" i="34"/>
  <c r="AD703" i="34"/>
  <c r="AD708" i="34"/>
  <c r="AD710" i="34"/>
  <c r="AD714" i="34"/>
  <c r="AD716" i="34"/>
  <c r="AD724" i="34"/>
  <c r="AD727" i="34"/>
  <c r="AD729" i="34"/>
  <c r="AD733" i="34"/>
  <c r="AD735" i="34"/>
  <c r="AD738" i="34"/>
  <c r="AD744" i="34"/>
  <c r="AD748" i="34"/>
  <c r="AD749" i="34"/>
  <c r="AD750" i="34"/>
  <c r="AD753" i="34"/>
  <c r="AD756" i="34"/>
  <c r="AD759" i="34"/>
  <c r="AD766" i="34"/>
  <c r="AD769" i="34"/>
  <c r="AD772" i="34"/>
  <c r="AD774" i="34"/>
  <c r="AE24" i="34"/>
  <c r="AE41" i="34"/>
  <c r="AE44" i="34"/>
  <c r="AE46" i="34"/>
  <c r="AE49" i="34"/>
  <c r="AE50" i="34"/>
  <c r="AE53" i="34"/>
  <c r="AE56" i="34"/>
  <c r="AE58" i="34"/>
  <c r="AE60" i="34"/>
  <c r="AE64" i="34"/>
  <c r="AE73" i="34"/>
  <c r="AE75" i="34"/>
  <c r="AE83" i="34"/>
  <c r="AE89" i="34"/>
  <c r="AE94" i="34"/>
  <c r="AE95" i="34"/>
  <c r="AE98" i="34"/>
  <c r="AE100" i="34"/>
  <c r="AE107" i="34"/>
  <c r="AE111" i="34"/>
  <c r="AE112" i="34"/>
  <c r="AE118" i="34"/>
  <c r="AE121" i="34"/>
  <c r="AE130" i="34"/>
  <c r="AE132" i="34"/>
  <c r="AE138" i="34"/>
  <c r="AE145" i="34"/>
  <c r="AE149" i="34"/>
  <c r="AE154" i="34"/>
  <c r="AE160" i="34"/>
  <c r="AE164" i="34"/>
  <c r="AE175" i="34"/>
  <c r="AE182" i="34"/>
  <c r="AE187" i="34"/>
  <c r="AE191" i="34"/>
  <c r="AE192" i="34"/>
  <c r="AE194" i="34"/>
  <c r="AE202" i="34"/>
  <c r="AE207" i="34"/>
  <c r="AE211" i="34"/>
  <c r="AE212" i="34"/>
  <c r="AE223" i="34"/>
  <c r="AE229" i="34"/>
  <c r="AE235" i="34"/>
  <c r="AE239" i="34"/>
  <c r="AE243" i="34"/>
  <c r="AE245" i="34"/>
  <c r="AE247" i="34"/>
  <c r="AE251" i="34"/>
  <c r="AE256" i="34"/>
  <c r="AE257" i="34"/>
  <c r="AE258" i="34"/>
  <c r="AE263" i="34"/>
  <c r="AE269" i="34"/>
  <c r="AE272" i="34"/>
  <c r="AE273" i="34"/>
  <c r="AE276" i="34"/>
  <c r="AE281" i="34"/>
  <c r="AE284" i="34"/>
  <c r="AE287" i="34"/>
  <c r="AE289" i="34"/>
  <c r="AE292" i="34"/>
  <c r="AE298" i="34"/>
  <c r="AE300" i="34"/>
  <c r="AE302" i="34"/>
  <c r="AE306" i="34"/>
  <c r="AE313" i="34"/>
  <c r="AE315" i="34"/>
  <c r="AE316" i="34"/>
  <c r="AE318" i="34"/>
  <c r="AE320" i="34"/>
  <c r="AE324" i="34"/>
  <c r="AE326" i="34"/>
  <c r="AE329" i="34"/>
  <c r="AE330" i="34"/>
  <c r="AE333" i="34"/>
  <c r="AE339" i="34"/>
  <c r="AE343" i="34"/>
  <c r="AE345" i="34"/>
  <c r="AE347" i="34"/>
  <c r="AE349" i="34"/>
  <c r="AE350" i="34"/>
  <c r="AE351" i="34"/>
  <c r="AE354" i="34"/>
  <c r="AE361" i="34"/>
  <c r="AE366" i="34"/>
  <c r="AE370" i="34"/>
  <c r="AE376" i="34"/>
  <c r="AE379" i="34"/>
  <c r="AE380" i="34"/>
  <c r="AE383" i="34"/>
  <c r="AE386" i="34"/>
  <c r="AE392" i="34"/>
  <c r="AE397" i="34"/>
  <c r="AE401" i="34"/>
  <c r="AE403" i="34"/>
  <c r="AE409" i="34"/>
  <c r="AE414" i="34"/>
  <c r="AE419" i="34"/>
  <c r="AE429" i="34"/>
  <c r="AE435" i="34"/>
  <c r="AE439" i="34"/>
  <c r="AE442" i="34"/>
  <c r="AE446" i="34"/>
  <c r="AE448" i="34"/>
  <c r="AE450" i="34"/>
  <c r="AE452" i="34"/>
  <c r="AE458" i="34"/>
  <c r="AE462" i="34"/>
  <c r="AE464" i="34"/>
  <c r="AE465" i="34"/>
  <c r="AE468" i="34"/>
  <c r="AE471" i="34"/>
  <c r="AE474" i="34"/>
  <c r="AE476" i="34"/>
  <c r="AE478" i="34"/>
  <c r="AE483" i="34"/>
  <c r="AE488" i="34"/>
  <c r="AE492" i="34"/>
  <c r="AE494" i="34"/>
  <c r="AE495" i="34"/>
  <c r="AE503" i="34"/>
  <c r="AE505" i="34"/>
  <c r="AE509" i="34"/>
  <c r="AE510" i="34"/>
  <c r="AE512" i="34"/>
  <c r="AE515" i="34"/>
  <c r="AE517" i="34"/>
  <c r="AE520" i="34"/>
  <c r="AE522" i="34"/>
  <c r="AE524" i="34"/>
  <c r="AE528" i="34"/>
  <c r="AE529" i="34"/>
  <c r="AE534" i="34"/>
  <c r="AE540" i="34"/>
  <c r="AE542" i="34"/>
  <c r="AE546" i="34"/>
  <c r="AE547" i="34"/>
  <c r="AE552" i="34"/>
  <c r="AE558" i="34"/>
  <c r="AE568" i="34"/>
  <c r="AE570" i="34"/>
  <c r="AE572" i="34"/>
  <c r="AE575" i="34"/>
  <c r="AE587" i="34"/>
  <c r="AE591" i="34"/>
  <c r="AE596" i="34"/>
  <c r="AE598" i="34"/>
  <c r="AE599" i="34"/>
  <c r="AE602" i="34"/>
  <c r="AE607" i="34"/>
  <c r="AE612" i="34"/>
  <c r="AE614" i="34"/>
  <c r="AE615" i="34"/>
  <c r="AE619" i="34"/>
  <c r="AE623" i="34"/>
  <c r="AE627" i="34"/>
  <c r="AE630" i="34"/>
  <c r="AE632" i="34"/>
  <c r="AE639" i="34"/>
  <c r="AE646" i="34"/>
  <c r="AE647" i="34"/>
  <c r="AE654" i="34"/>
  <c r="AE656" i="34"/>
  <c r="AE658" i="34"/>
  <c r="AE660" i="34"/>
  <c r="AE665" i="34"/>
  <c r="AE668" i="34"/>
  <c r="AE670" i="34"/>
  <c r="AE673" i="34"/>
  <c r="AE676" i="34"/>
  <c r="AE678" i="34"/>
  <c r="AE681" i="34"/>
  <c r="AE692" i="34"/>
  <c r="AE703" i="34"/>
  <c r="AE708" i="34"/>
  <c r="AE710" i="34"/>
  <c r="AE714" i="34"/>
  <c r="AE716" i="34"/>
  <c r="AE724" i="34"/>
  <c r="AE727" i="34"/>
  <c r="AE729" i="34"/>
  <c r="AE733" i="34"/>
  <c r="AE735" i="34"/>
  <c r="AE738" i="34"/>
  <c r="AE744" i="34"/>
  <c r="AE748" i="34"/>
  <c r="AE749" i="34"/>
  <c r="AE750" i="34"/>
  <c r="AE753" i="34"/>
  <c r="AE756" i="34"/>
  <c r="AE759" i="34"/>
  <c r="AE766" i="34"/>
  <c r="AE769" i="34"/>
  <c r="AE772" i="34"/>
  <c r="AE774" i="34"/>
  <c r="AF24" i="34"/>
  <c r="AF41" i="34"/>
  <c r="AF44" i="34"/>
  <c r="AF46" i="34"/>
  <c r="AF49" i="34"/>
  <c r="AF50" i="34"/>
  <c r="AF53" i="34"/>
  <c r="AF56" i="34"/>
  <c r="AF58" i="34"/>
  <c r="AF60" i="34"/>
  <c r="AF64" i="34"/>
  <c r="AF73" i="34"/>
  <c r="AF75" i="34"/>
  <c r="AF83" i="34"/>
  <c r="AF89" i="34"/>
  <c r="AF94" i="34"/>
  <c r="AF95" i="34"/>
  <c r="AF98" i="34"/>
  <c r="AF100" i="34"/>
  <c r="AF107" i="34"/>
  <c r="AF111" i="34"/>
  <c r="AF112" i="34"/>
  <c r="AF118" i="34"/>
  <c r="AF121" i="34"/>
  <c r="AF130" i="34"/>
  <c r="AF132" i="34"/>
  <c r="AF138" i="34"/>
  <c r="AF145" i="34"/>
  <c r="AF149" i="34"/>
  <c r="AF154" i="34"/>
  <c r="AF160" i="34"/>
  <c r="AF164" i="34"/>
  <c r="AF175" i="34"/>
  <c r="AF182" i="34"/>
  <c r="AF187" i="34"/>
  <c r="AF191" i="34"/>
  <c r="AF192" i="34"/>
  <c r="AF194" i="34"/>
  <c r="AF202" i="34"/>
  <c r="AF207" i="34"/>
  <c r="AF211" i="34"/>
  <c r="AF212" i="34"/>
  <c r="AF223" i="34"/>
  <c r="AF229" i="34"/>
  <c r="AF235" i="34"/>
  <c r="AF239" i="34"/>
  <c r="AF243" i="34"/>
  <c r="AF245" i="34"/>
  <c r="AF247" i="34"/>
  <c r="AF251" i="34"/>
  <c r="AF256" i="34"/>
  <c r="AF257" i="34"/>
  <c r="AF258" i="34"/>
  <c r="AF263" i="34"/>
  <c r="AF269" i="34"/>
  <c r="AF272" i="34"/>
  <c r="AF273" i="34"/>
  <c r="AF276" i="34"/>
  <c r="AF281" i="34"/>
  <c r="AF284" i="34"/>
  <c r="AF287" i="34"/>
  <c r="AF289" i="34"/>
  <c r="AF292" i="34"/>
  <c r="AF298" i="34"/>
  <c r="AF300" i="34"/>
  <c r="AF302" i="34"/>
  <c r="AF306" i="34"/>
  <c r="AF313" i="34"/>
  <c r="AF315" i="34"/>
  <c r="AF316" i="34"/>
  <c r="AF318" i="34"/>
  <c r="AF320" i="34"/>
  <c r="AF324" i="34"/>
  <c r="AF326" i="34"/>
  <c r="AF329" i="34"/>
  <c r="AF330" i="34"/>
  <c r="AF333" i="34"/>
  <c r="AF339" i="34"/>
  <c r="AF343" i="34"/>
  <c r="AF345" i="34"/>
  <c r="AF347" i="34"/>
  <c r="AF349" i="34"/>
  <c r="AF350" i="34"/>
  <c r="AF351" i="34"/>
  <c r="AF354" i="34"/>
  <c r="AF361" i="34"/>
  <c r="AF366" i="34"/>
  <c r="AF370" i="34"/>
  <c r="AF376" i="34"/>
  <c r="AF379" i="34"/>
  <c r="AF380" i="34"/>
  <c r="AF383" i="34"/>
  <c r="AF386" i="34"/>
  <c r="AF392" i="34"/>
  <c r="AF397" i="34"/>
  <c r="AF401" i="34"/>
  <c r="AF403" i="34"/>
  <c r="AF409" i="34"/>
  <c r="AF414" i="34"/>
  <c r="AF419" i="34"/>
  <c r="AF429" i="34"/>
  <c r="AF435" i="34"/>
  <c r="AF439" i="34"/>
  <c r="AF442" i="34"/>
  <c r="AF446" i="34"/>
  <c r="AF448" i="34"/>
  <c r="AF450" i="34"/>
  <c r="AF452" i="34"/>
  <c r="AF458" i="34"/>
  <c r="AF462" i="34"/>
  <c r="AF464" i="34"/>
  <c r="AF465" i="34"/>
  <c r="AF468" i="34"/>
  <c r="AF471" i="34"/>
  <c r="AF474" i="34"/>
  <c r="AF476" i="34"/>
  <c r="AF478" i="34"/>
  <c r="AF483" i="34"/>
  <c r="AF488" i="34"/>
  <c r="AF492" i="34"/>
  <c r="AF494" i="34"/>
  <c r="AF495" i="34"/>
  <c r="AF503" i="34"/>
  <c r="AF505" i="34"/>
  <c r="AF509" i="34"/>
  <c r="AF510" i="34"/>
  <c r="AF512" i="34"/>
  <c r="AF515" i="34"/>
  <c r="AF517" i="34"/>
  <c r="AF520" i="34"/>
  <c r="AF522" i="34"/>
  <c r="AF524" i="34"/>
  <c r="AF528" i="34"/>
  <c r="AF529" i="34"/>
  <c r="AF534" i="34"/>
  <c r="AF540" i="34"/>
  <c r="AF542" i="34"/>
  <c r="AF546" i="34"/>
  <c r="AF547" i="34"/>
  <c r="AF552" i="34"/>
  <c r="AF558" i="34"/>
  <c r="AF568" i="34"/>
  <c r="AF570" i="34"/>
  <c r="AF572" i="34"/>
  <c r="AF575" i="34"/>
  <c r="AF587" i="34"/>
  <c r="AF591" i="34"/>
  <c r="AF596" i="34"/>
  <c r="AF598" i="34"/>
  <c r="AF599" i="34"/>
  <c r="AF602" i="34"/>
  <c r="AF607" i="34"/>
  <c r="AF612" i="34"/>
  <c r="AF614" i="34"/>
  <c r="AF615" i="34"/>
  <c r="AF619" i="34"/>
  <c r="AF623" i="34"/>
  <c r="AF627" i="34"/>
  <c r="AF630" i="34"/>
  <c r="AF632" i="34"/>
  <c r="AF639" i="34"/>
  <c r="AF646" i="34"/>
  <c r="AF647" i="34"/>
  <c r="AF654" i="34"/>
  <c r="AF656" i="34"/>
  <c r="AF658" i="34"/>
  <c r="AF660" i="34"/>
  <c r="AF665" i="34"/>
  <c r="AF668" i="34"/>
  <c r="AF670" i="34"/>
  <c r="AF673" i="34"/>
  <c r="AF676" i="34"/>
  <c r="AF678" i="34"/>
  <c r="AF681" i="34"/>
  <c r="AF692" i="34"/>
  <c r="AF703" i="34"/>
  <c r="AF708" i="34"/>
  <c r="AF710" i="34"/>
  <c r="AF714" i="34"/>
  <c r="AF716" i="34"/>
  <c r="AF724" i="34"/>
  <c r="AF727" i="34"/>
  <c r="AF729" i="34"/>
  <c r="AF733" i="34"/>
  <c r="AF735" i="34"/>
  <c r="AF738" i="34"/>
  <c r="AF744" i="34"/>
  <c r="AF748" i="34"/>
  <c r="AF749" i="34"/>
  <c r="AF750" i="34"/>
  <c r="AF753" i="34"/>
  <c r="AF756" i="34"/>
  <c r="AF759" i="34"/>
  <c r="AF766" i="34"/>
  <c r="AF769" i="34"/>
  <c r="AF772" i="34"/>
  <c r="AF774" i="34"/>
  <c r="AG24" i="34"/>
  <c r="AG41" i="34"/>
  <c r="AG44" i="34"/>
  <c r="AG46" i="34"/>
  <c r="AG49" i="34"/>
  <c r="AG50" i="34"/>
  <c r="AG53" i="34"/>
  <c r="AG56" i="34"/>
  <c r="AG58" i="34"/>
  <c r="AG60" i="34"/>
  <c r="AG64" i="34"/>
  <c r="AG73" i="34"/>
  <c r="AG75" i="34"/>
  <c r="AG83" i="34"/>
  <c r="AG89" i="34"/>
  <c r="AG94" i="34"/>
  <c r="AG95" i="34"/>
  <c r="AG98" i="34"/>
  <c r="AG100" i="34"/>
  <c r="AG107" i="34"/>
  <c r="AG111" i="34"/>
  <c r="AG112" i="34"/>
  <c r="AG118" i="34"/>
  <c r="AG121" i="34"/>
  <c r="AG130" i="34"/>
  <c r="AG132" i="34"/>
  <c r="AG138" i="34"/>
  <c r="AG145" i="34"/>
  <c r="AG149" i="34"/>
  <c r="AG154" i="34"/>
  <c r="AG160" i="34"/>
  <c r="AG164" i="34"/>
  <c r="AG175" i="34"/>
  <c r="AG182" i="34"/>
  <c r="AG187" i="34"/>
  <c r="AG191" i="34"/>
  <c r="AG192" i="34"/>
  <c r="AG194" i="34"/>
  <c r="AG202" i="34"/>
  <c r="AG207" i="34"/>
  <c r="AG211" i="34"/>
  <c r="AG212" i="34"/>
  <c r="AG223" i="34"/>
  <c r="AG229" i="34"/>
  <c r="AG235" i="34"/>
  <c r="AG239" i="34"/>
  <c r="AG243" i="34"/>
  <c r="AG245" i="34"/>
  <c r="AG247" i="34"/>
  <c r="AG251" i="34"/>
  <c r="AG256" i="34"/>
  <c r="AG257" i="34"/>
  <c r="AG258" i="34"/>
  <c r="AG263" i="34"/>
  <c r="AG269" i="34"/>
  <c r="AG272" i="34"/>
  <c r="AG273" i="34"/>
  <c r="AG276" i="34"/>
  <c r="AG281" i="34"/>
  <c r="AG284" i="34"/>
  <c r="AG287" i="34"/>
  <c r="AG289" i="34"/>
  <c r="AG292" i="34"/>
  <c r="AG298" i="34"/>
  <c r="AG300" i="34"/>
  <c r="AG302" i="34"/>
  <c r="AG306" i="34"/>
  <c r="AG313" i="34"/>
  <c r="AG315" i="34"/>
  <c r="AG316" i="34"/>
  <c r="AG318" i="34"/>
  <c r="AG320" i="34"/>
  <c r="AG324" i="34"/>
  <c r="AG326" i="34"/>
  <c r="AG329" i="34"/>
  <c r="AG330" i="34"/>
  <c r="AG333" i="34"/>
  <c r="AG339" i="34"/>
  <c r="AG343" i="34"/>
  <c r="AG345" i="34"/>
  <c r="AG347" i="34"/>
  <c r="AG349" i="34"/>
  <c r="AG350" i="34"/>
  <c r="AG351" i="34"/>
  <c r="AG354" i="34"/>
  <c r="AG361" i="34"/>
  <c r="AG366" i="34"/>
  <c r="AG370" i="34"/>
  <c r="AG376" i="34"/>
  <c r="AG379" i="34"/>
  <c r="AG380" i="34"/>
  <c r="AG383" i="34"/>
  <c r="AG386" i="34"/>
  <c r="AG392" i="34"/>
  <c r="AG397" i="34"/>
  <c r="AG401" i="34"/>
  <c r="AG403" i="34"/>
  <c r="AG409" i="34"/>
  <c r="AG414" i="34"/>
  <c r="AG419" i="34"/>
  <c r="AG429" i="34"/>
  <c r="AG435" i="34"/>
  <c r="AG439" i="34"/>
  <c r="AG442" i="34"/>
  <c r="AG446" i="34"/>
  <c r="AG448" i="34"/>
  <c r="AG450" i="34"/>
  <c r="AG452" i="34"/>
  <c r="AG458" i="34"/>
  <c r="AG462" i="34"/>
  <c r="AG464" i="34"/>
  <c r="AG465" i="34"/>
  <c r="AG468" i="34"/>
  <c r="AG471" i="34"/>
  <c r="AG474" i="34"/>
  <c r="AG476" i="34"/>
  <c r="AG478" i="34"/>
  <c r="AG483" i="34"/>
  <c r="AG488" i="34"/>
  <c r="AG492" i="34"/>
  <c r="AG494" i="34"/>
  <c r="AG495" i="34"/>
  <c r="AG503" i="34"/>
  <c r="AG505" i="34"/>
  <c r="AG509" i="34"/>
  <c r="AG510" i="34"/>
  <c r="AG512" i="34"/>
  <c r="AG515" i="34"/>
  <c r="AG517" i="34"/>
  <c r="AG520" i="34"/>
  <c r="AG522" i="34"/>
  <c r="AG524" i="34"/>
  <c r="AG528" i="34"/>
  <c r="AG529" i="34"/>
  <c r="AG534" i="34"/>
  <c r="AG540" i="34"/>
  <c r="AG542" i="34"/>
  <c r="AG546" i="34"/>
  <c r="AG547" i="34"/>
  <c r="AG552" i="34"/>
  <c r="AG558" i="34"/>
  <c r="AG568" i="34"/>
  <c r="AG570" i="34"/>
  <c r="AG572" i="34"/>
  <c r="AG575" i="34"/>
  <c r="AG587" i="34"/>
  <c r="AG591" i="34"/>
  <c r="AG596" i="34"/>
  <c r="AG598" i="34"/>
  <c r="AG599" i="34"/>
  <c r="AG602" i="34"/>
  <c r="AG607" i="34"/>
  <c r="AG612" i="34"/>
  <c r="AG614" i="34"/>
  <c r="AG615" i="34"/>
  <c r="AG619" i="34"/>
  <c r="AG623" i="34"/>
  <c r="AG627" i="34"/>
  <c r="AG630" i="34"/>
  <c r="AG632" i="34"/>
  <c r="AG639" i="34"/>
  <c r="AG646" i="34"/>
  <c r="AG647" i="34"/>
  <c r="AG654" i="34"/>
  <c r="AG656" i="34"/>
  <c r="AG658" i="34"/>
  <c r="AG660" i="34"/>
  <c r="AG665" i="34"/>
  <c r="AG668" i="34"/>
  <c r="AG670" i="34"/>
  <c r="AG673" i="34"/>
  <c r="AG676" i="34"/>
  <c r="AG678" i="34"/>
  <c r="AG681" i="34"/>
  <c r="AG692" i="34"/>
  <c r="AG703" i="34"/>
  <c r="AG708" i="34"/>
  <c r="AG710" i="34"/>
  <c r="AG714" i="34"/>
  <c r="AG716" i="34"/>
  <c r="AG724" i="34"/>
  <c r="AG727" i="34"/>
  <c r="AG729" i="34"/>
  <c r="AG733" i="34"/>
  <c r="AG735" i="34"/>
  <c r="AG738" i="34"/>
  <c r="AG744" i="34"/>
  <c r="AG748" i="34"/>
  <c r="AG749" i="34"/>
  <c r="AG750" i="34"/>
  <c r="AG753" i="34"/>
  <c r="AG756" i="34"/>
  <c r="AG759" i="34"/>
  <c r="AG766" i="34"/>
  <c r="AG769" i="34"/>
  <c r="AG772" i="34"/>
  <c r="AG774" i="34"/>
  <c r="D28" i="34"/>
  <c r="D38" i="34"/>
  <c r="D42" i="34"/>
  <c r="D47" i="34"/>
  <c r="D57" i="34"/>
  <c r="D63" i="34"/>
  <c r="D65" i="34"/>
  <c r="D71" i="34"/>
  <c r="D77" i="34"/>
  <c r="D78" i="34"/>
  <c r="D85" i="34"/>
  <c r="D86" i="34"/>
  <c r="D92" i="34"/>
  <c r="D96" i="34"/>
  <c r="D106" i="34"/>
  <c r="D110" i="34"/>
  <c r="D115" i="34"/>
  <c r="D123" i="34"/>
  <c r="D139" i="34"/>
  <c r="D141" i="34"/>
  <c r="D142" i="34"/>
  <c r="D147" i="34"/>
  <c r="D153" i="34"/>
  <c r="D156" i="34"/>
  <c r="D162" i="34"/>
  <c r="D168" i="34"/>
  <c r="D174" i="34"/>
  <c r="D179" i="34"/>
  <c r="D190" i="34"/>
  <c r="D195" i="34"/>
  <c r="D199" i="34"/>
  <c r="D203" i="34"/>
  <c r="D213" i="34"/>
  <c r="D216" i="34"/>
  <c r="D217" i="34"/>
  <c r="D222" i="34"/>
  <c r="D231" i="34"/>
  <c r="D233" i="34"/>
  <c r="D236" i="34"/>
  <c r="D244" i="34"/>
  <c r="D253" i="34"/>
  <c r="D255" i="34"/>
  <c r="D259" i="34"/>
  <c r="D270" i="34"/>
  <c r="D271" i="34"/>
  <c r="D283" i="34"/>
  <c r="D296" i="34"/>
  <c r="D304" i="34"/>
  <c r="D311" i="34"/>
  <c r="D314" i="34"/>
  <c r="D317" i="34"/>
  <c r="D319" i="34"/>
  <c r="D322" i="34"/>
  <c r="D334" i="34"/>
  <c r="D336" i="34"/>
  <c r="D367" i="34"/>
  <c r="D371" i="34"/>
  <c r="D374" i="34"/>
  <c r="D387" i="34"/>
  <c r="D389" i="34"/>
  <c r="D404" i="34"/>
  <c r="D406" i="34"/>
  <c r="D410" i="34"/>
  <c r="D418" i="34"/>
  <c r="D426" i="34"/>
  <c r="D431" i="34"/>
  <c r="D433" i="34"/>
  <c r="D438" i="34"/>
  <c r="D441" i="34"/>
  <c r="D445" i="34"/>
  <c r="D453" i="34"/>
  <c r="D457" i="34"/>
  <c r="D461" i="34"/>
  <c r="D470" i="34"/>
  <c r="D473" i="34"/>
  <c r="D481" i="34"/>
  <c r="D484" i="34"/>
  <c r="D490" i="34"/>
  <c r="D498" i="34"/>
  <c r="D504" i="34"/>
  <c r="D508" i="34"/>
  <c r="D516" i="34"/>
  <c r="D525" i="34"/>
  <c r="D531" i="34"/>
  <c r="D533" i="34"/>
  <c r="D553" i="34"/>
  <c r="D559" i="34"/>
  <c r="D567" i="34"/>
  <c r="D576" i="34"/>
  <c r="D582" i="34"/>
  <c r="D585" i="34"/>
  <c r="D594" i="34"/>
  <c r="D597" i="34"/>
  <c r="D603" i="34"/>
  <c r="D608" i="34"/>
  <c r="D616" i="34"/>
  <c r="D624" i="34"/>
  <c r="D633" i="34"/>
  <c r="D636" i="34"/>
  <c r="D641" i="34"/>
  <c r="D653" i="34"/>
  <c r="D664" i="34"/>
  <c r="D671" i="34"/>
  <c r="D672" i="34"/>
  <c r="D683" i="34"/>
  <c r="D690" i="34"/>
  <c r="D691" i="34"/>
  <c r="D694" i="34"/>
  <c r="D696" i="34"/>
  <c r="D698" i="34"/>
  <c r="D704" i="34"/>
  <c r="D707" i="34"/>
  <c r="D709" i="34"/>
  <c r="D721" i="34"/>
  <c r="D726" i="34"/>
  <c r="D730" i="34"/>
  <c r="D741" i="34"/>
  <c r="D745" i="34"/>
  <c r="D752" i="34"/>
  <c r="D762" i="34"/>
  <c r="D767" i="34"/>
  <c r="D771" i="34"/>
  <c r="D773" i="34"/>
  <c r="O28" i="34"/>
  <c r="O38" i="34"/>
  <c r="O42" i="34"/>
  <c r="O47" i="34"/>
  <c r="O57" i="34"/>
  <c r="O63" i="34"/>
  <c r="O65" i="34"/>
  <c r="O71" i="34"/>
  <c r="O77" i="34"/>
  <c r="O78" i="34"/>
  <c r="O85" i="34"/>
  <c r="O86" i="34"/>
  <c r="O92" i="34"/>
  <c r="O96" i="34"/>
  <c r="O106" i="34"/>
  <c r="O110" i="34"/>
  <c r="O115" i="34"/>
  <c r="O123" i="34"/>
  <c r="O139" i="34"/>
  <c r="O141" i="34"/>
  <c r="O142" i="34"/>
  <c r="O147" i="34"/>
  <c r="O153" i="34"/>
  <c r="O156" i="34"/>
  <c r="O162" i="34"/>
  <c r="O168" i="34"/>
  <c r="O174" i="34"/>
  <c r="O179" i="34"/>
  <c r="O190" i="34"/>
  <c r="O195" i="34"/>
  <c r="O199" i="34"/>
  <c r="O203" i="34"/>
  <c r="O213" i="34"/>
  <c r="O216" i="34"/>
  <c r="O217" i="34"/>
  <c r="O222" i="34"/>
  <c r="O231" i="34"/>
  <c r="O233" i="34"/>
  <c r="O236" i="34"/>
  <c r="O244" i="34"/>
  <c r="O253" i="34"/>
  <c r="O255" i="34"/>
  <c r="O259" i="34"/>
  <c r="O270" i="34"/>
  <c r="O271" i="34"/>
  <c r="O283" i="34"/>
  <c r="O296" i="34"/>
  <c r="O304" i="34"/>
  <c r="O311" i="34"/>
  <c r="O314" i="34"/>
  <c r="O317" i="34"/>
  <c r="O319" i="34"/>
  <c r="O322" i="34"/>
  <c r="O334" i="34"/>
  <c r="O336" i="34"/>
  <c r="O367" i="34"/>
  <c r="O371" i="34"/>
  <c r="O374" i="34"/>
  <c r="O387" i="34"/>
  <c r="O389" i="34"/>
  <c r="O404" i="34"/>
  <c r="O406" i="34"/>
  <c r="O410" i="34"/>
  <c r="O418" i="34"/>
  <c r="O426" i="34"/>
  <c r="O431" i="34"/>
  <c r="O433" i="34"/>
  <c r="O438" i="34"/>
  <c r="O441" i="34"/>
  <c r="O445" i="34"/>
  <c r="O453" i="34"/>
  <c r="O457" i="34"/>
  <c r="O461" i="34"/>
  <c r="O470" i="34"/>
  <c r="O473" i="34"/>
  <c r="O481" i="34"/>
  <c r="O484" i="34"/>
  <c r="O490" i="34"/>
  <c r="O498" i="34"/>
  <c r="O504" i="34"/>
  <c r="O508" i="34"/>
  <c r="O516" i="34"/>
  <c r="O525" i="34"/>
  <c r="O531" i="34"/>
  <c r="O533" i="34"/>
  <c r="O553" i="34"/>
  <c r="O559" i="34"/>
  <c r="O567" i="34"/>
  <c r="O576" i="34"/>
  <c r="O582" i="34"/>
  <c r="O585" i="34"/>
  <c r="O594" i="34"/>
  <c r="O597" i="34"/>
  <c r="O603" i="34"/>
  <c r="O608" i="34"/>
  <c r="O616" i="34"/>
  <c r="O624" i="34"/>
  <c r="O633" i="34"/>
  <c r="O636" i="34"/>
  <c r="O641" i="34"/>
  <c r="O653" i="34"/>
  <c r="O664" i="34"/>
  <c r="O671" i="34"/>
  <c r="O672" i="34"/>
  <c r="O683" i="34"/>
  <c r="O690" i="34"/>
  <c r="O691" i="34"/>
  <c r="O694" i="34"/>
  <c r="O696" i="34"/>
  <c r="O698" i="34"/>
  <c r="O704" i="34"/>
  <c r="O707" i="34"/>
  <c r="O709" i="34"/>
  <c r="O721" i="34"/>
  <c r="O726" i="34"/>
  <c r="O730" i="34"/>
  <c r="O741" i="34"/>
  <c r="O745" i="34"/>
  <c r="O752" i="34"/>
  <c r="O762" i="34"/>
  <c r="O767" i="34"/>
  <c r="O771" i="34"/>
  <c r="O773" i="34"/>
  <c r="P28" i="34"/>
  <c r="P38" i="34"/>
  <c r="P42" i="34"/>
  <c r="P47" i="34"/>
  <c r="P57" i="34"/>
  <c r="P63" i="34"/>
  <c r="P65" i="34"/>
  <c r="P71" i="34"/>
  <c r="P77" i="34"/>
  <c r="P78" i="34"/>
  <c r="P85" i="34"/>
  <c r="P86" i="34"/>
  <c r="P92" i="34"/>
  <c r="P96" i="34"/>
  <c r="P106" i="34"/>
  <c r="P110" i="34"/>
  <c r="P115" i="34"/>
  <c r="P123" i="34"/>
  <c r="P139" i="34"/>
  <c r="P141" i="34"/>
  <c r="P142" i="34"/>
  <c r="P147" i="34"/>
  <c r="P153" i="34"/>
  <c r="P156" i="34"/>
  <c r="P162" i="34"/>
  <c r="P168" i="34"/>
  <c r="P174" i="34"/>
  <c r="P179" i="34"/>
  <c r="P190" i="34"/>
  <c r="P195" i="34"/>
  <c r="P199" i="34"/>
  <c r="P203" i="34"/>
  <c r="P213" i="34"/>
  <c r="P216" i="34"/>
  <c r="P217" i="34"/>
  <c r="P222" i="34"/>
  <c r="P231" i="34"/>
  <c r="P233" i="34"/>
  <c r="P236" i="34"/>
  <c r="P244" i="34"/>
  <c r="P253" i="34"/>
  <c r="P255" i="34"/>
  <c r="P259" i="34"/>
  <c r="P270" i="34"/>
  <c r="P271" i="34"/>
  <c r="P283" i="34"/>
  <c r="P296" i="34"/>
  <c r="P304" i="34"/>
  <c r="P311" i="34"/>
  <c r="P314" i="34"/>
  <c r="P317" i="34"/>
  <c r="P319" i="34"/>
  <c r="P322" i="34"/>
  <c r="P334" i="34"/>
  <c r="P336" i="34"/>
  <c r="P367" i="34"/>
  <c r="P371" i="34"/>
  <c r="P374" i="34"/>
  <c r="P387" i="34"/>
  <c r="P389" i="34"/>
  <c r="P404" i="34"/>
  <c r="P406" i="34"/>
  <c r="P410" i="34"/>
  <c r="P418" i="34"/>
  <c r="P426" i="34"/>
  <c r="P431" i="34"/>
  <c r="P433" i="34"/>
  <c r="P438" i="34"/>
  <c r="P441" i="34"/>
  <c r="P445" i="34"/>
  <c r="P453" i="34"/>
  <c r="P457" i="34"/>
  <c r="P461" i="34"/>
  <c r="P470" i="34"/>
  <c r="P473" i="34"/>
  <c r="P481" i="34"/>
  <c r="P484" i="34"/>
  <c r="P490" i="34"/>
  <c r="P498" i="34"/>
  <c r="P504" i="34"/>
  <c r="P508" i="34"/>
  <c r="P516" i="34"/>
  <c r="P525" i="34"/>
  <c r="P531" i="34"/>
  <c r="P533" i="34"/>
  <c r="P553" i="34"/>
  <c r="P559" i="34"/>
  <c r="P567" i="34"/>
  <c r="P576" i="34"/>
  <c r="P582" i="34"/>
  <c r="P585" i="34"/>
  <c r="P594" i="34"/>
  <c r="P597" i="34"/>
  <c r="P603" i="34"/>
  <c r="P608" i="34"/>
  <c r="P616" i="34"/>
  <c r="P624" i="34"/>
  <c r="P633" i="34"/>
  <c r="P636" i="34"/>
  <c r="P641" i="34"/>
  <c r="P653" i="34"/>
  <c r="P664" i="34"/>
  <c r="P671" i="34"/>
  <c r="P672" i="34"/>
  <c r="P683" i="34"/>
  <c r="P690" i="34"/>
  <c r="P691" i="34"/>
  <c r="P694" i="34"/>
  <c r="P696" i="34"/>
  <c r="P698" i="34"/>
  <c r="P704" i="34"/>
  <c r="P707" i="34"/>
  <c r="P709" i="34"/>
  <c r="P721" i="34"/>
  <c r="P726" i="34"/>
  <c r="P730" i="34"/>
  <c r="P741" i="34"/>
  <c r="P745" i="34"/>
  <c r="P752" i="34"/>
  <c r="P762" i="34"/>
  <c r="P767" i="34"/>
  <c r="P771" i="34"/>
  <c r="P773" i="34"/>
  <c r="Q28" i="34"/>
  <c r="Q38" i="34"/>
  <c r="Q42" i="34"/>
  <c r="Q47" i="34"/>
  <c r="Q57" i="34"/>
  <c r="Q63" i="34"/>
  <c r="Q65" i="34"/>
  <c r="Q71" i="34"/>
  <c r="Q77" i="34"/>
  <c r="Q78" i="34"/>
  <c r="Q85" i="34"/>
  <c r="Q86" i="34"/>
  <c r="Q92" i="34"/>
  <c r="Q96" i="34"/>
  <c r="Q106" i="34"/>
  <c r="Q110" i="34"/>
  <c r="Q115" i="34"/>
  <c r="Q123" i="34"/>
  <c r="Q139" i="34"/>
  <c r="Q141" i="34"/>
  <c r="Q142" i="34"/>
  <c r="Q147" i="34"/>
  <c r="Q153" i="34"/>
  <c r="Q156" i="34"/>
  <c r="Q162" i="34"/>
  <c r="Q168" i="34"/>
  <c r="Q174" i="34"/>
  <c r="Q179" i="34"/>
  <c r="Q190" i="34"/>
  <c r="Q195" i="34"/>
  <c r="Q199" i="34"/>
  <c r="Q203" i="34"/>
  <c r="Q213" i="34"/>
  <c r="Q216" i="34"/>
  <c r="Q217" i="34"/>
  <c r="Q222" i="34"/>
  <c r="Q231" i="34"/>
  <c r="Q233" i="34"/>
  <c r="Q236" i="34"/>
  <c r="Q244" i="34"/>
  <c r="Q253" i="34"/>
  <c r="Q255" i="34"/>
  <c r="Q259" i="34"/>
  <c r="Q270" i="34"/>
  <c r="Q271" i="34"/>
  <c r="Q283" i="34"/>
  <c r="Q296" i="34"/>
  <c r="Q304" i="34"/>
  <c r="Q311" i="34"/>
  <c r="Q314" i="34"/>
  <c r="Q317" i="34"/>
  <c r="Q319" i="34"/>
  <c r="Q322" i="34"/>
  <c r="Q334" i="34"/>
  <c r="Q336" i="34"/>
  <c r="Q367" i="34"/>
  <c r="Q371" i="34"/>
  <c r="Q374" i="34"/>
  <c r="Q387" i="34"/>
  <c r="Q389" i="34"/>
  <c r="Q404" i="34"/>
  <c r="Q406" i="34"/>
  <c r="Q410" i="34"/>
  <c r="Q418" i="34"/>
  <c r="Q426" i="34"/>
  <c r="Q431" i="34"/>
  <c r="Q433" i="34"/>
  <c r="Q438" i="34"/>
  <c r="Q441" i="34"/>
  <c r="Q445" i="34"/>
  <c r="Q453" i="34"/>
  <c r="Q457" i="34"/>
  <c r="Q461" i="34"/>
  <c r="Q470" i="34"/>
  <c r="Q473" i="34"/>
  <c r="Q481" i="34"/>
  <c r="Q484" i="34"/>
  <c r="Q490" i="34"/>
  <c r="Q498" i="34"/>
  <c r="Q504" i="34"/>
  <c r="Q508" i="34"/>
  <c r="Q516" i="34"/>
  <c r="Q525" i="34"/>
  <c r="Q531" i="34"/>
  <c r="Q533" i="34"/>
  <c r="Q553" i="34"/>
  <c r="Q559" i="34"/>
  <c r="Q567" i="34"/>
  <c r="Q576" i="34"/>
  <c r="Q582" i="34"/>
  <c r="Q585" i="34"/>
  <c r="Q594" i="34"/>
  <c r="Q597" i="34"/>
  <c r="Q603" i="34"/>
  <c r="Q608" i="34"/>
  <c r="Q616" i="34"/>
  <c r="Q624" i="34"/>
  <c r="Q633" i="34"/>
  <c r="Q636" i="34"/>
  <c r="Q641" i="34"/>
  <c r="Q653" i="34"/>
  <c r="Q664" i="34"/>
  <c r="Q671" i="34"/>
  <c r="Q672" i="34"/>
  <c r="Q683" i="34"/>
  <c r="Q690" i="34"/>
  <c r="Q691" i="34"/>
  <c r="Q694" i="34"/>
  <c r="Q696" i="34"/>
  <c r="Q698" i="34"/>
  <c r="Q704" i="34"/>
  <c r="Q707" i="34"/>
  <c r="Q709" i="34"/>
  <c r="Q721" i="34"/>
  <c r="Q726" i="34"/>
  <c r="Q730" i="34"/>
  <c r="Q741" i="34"/>
  <c r="Q745" i="34"/>
  <c r="Q752" i="34"/>
  <c r="Q762" i="34"/>
  <c r="Q767" i="34"/>
  <c r="Q771" i="34"/>
  <c r="Q773" i="34"/>
  <c r="U28" i="34"/>
  <c r="U38" i="34"/>
  <c r="U42" i="34"/>
  <c r="U47" i="34"/>
  <c r="U57" i="34"/>
  <c r="U63" i="34"/>
  <c r="U65" i="34"/>
  <c r="U71" i="34"/>
  <c r="U77" i="34"/>
  <c r="U78" i="34"/>
  <c r="U85" i="34"/>
  <c r="U86" i="34"/>
  <c r="U92" i="34"/>
  <c r="U96" i="34"/>
  <c r="U106" i="34"/>
  <c r="U110" i="34"/>
  <c r="U115" i="34"/>
  <c r="U123" i="34"/>
  <c r="U139" i="34"/>
  <c r="U141" i="34"/>
  <c r="U142" i="34"/>
  <c r="U147" i="34"/>
  <c r="U153" i="34"/>
  <c r="U156" i="34"/>
  <c r="U162" i="34"/>
  <c r="U168" i="34"/>
  <c r="U174" i="34"/>
  <c r="U179" i="34"/>
  <c r="U190" i="34"/>
  <c r="U195" i="34"/>
  <c r="U199" i="34"/>
  <c r="U203" i="34"/>
  <c r="U213" i="34"/>
  <c r="U216" i="34"/>
  <c r="U217" i="34"/>
  <c r="U222" i="34"/>
  <c r="U231" i="34"/>
  <c r="U233" i="34"/>
  <c r="U236" i="34"/>
  <c r="U244" i="34"/>
  <c r="U253" i="34"/>
  <c r="U255" i="34"/>
  <c r="U259" i="34"/>
  <c r="U270" i="34"/>
  <c r="U271" i="34"/>
  <c r="U283" i="34"/>
  <c r="U296" i="34"/>
  <c r="U304" i="34"/>
  <c r="U311" i="34"/>
  <c r="U314" i="34"/>
  <c r="U317" i="34"/>
  <c r="U319" i="34"/>
  <c r="U322" i="34"/>
  <c r="U334" i="34"/>
  <c r="U336" i="34"/>
  <c r="U367" i="34"/>
  <c r="U371" i="34"/>
  <c r="U374" i="34"/>
  <c r="U387" i="34"/>
  <c r="U389" i="34"/>
  <c r="U404" i="34"/>
  <c r="U406" i="34"/>
  <c r="U410" i="34"/>
  <c r="U418" i="34"/>
  <c r="U426" i="34"/>
  <c r="U431" i="34"/>
  <c r="U433" i="34"/>
  <c r="U438" i="34"/>
  <c r="U441" i="34"/>
  <c r="U445" i="34"/>
  <c r="U453" i="34"/>
  <c r="U457" i="34"/>
  <c r="U461" i="34"/>
  <c r="U470" i="34"/>
  <c r="U473" i="34"/>
  <c r="U481" i="34"/>
  <c r="U484" i="34"/>
  <c r="U490" i="34"/>
  <c r="U498" i="34"/>
  <c r="U504" i="34"/>
  <c r="U508" i="34"/>
  <c r="U516" i="34"/>
  <c r="U525" i="34"/>
  <c r="U531" i="34"/>
  <c r="U533" i="34"/>
  <c r="U553" i="34"/>
  <c r="U559" i="34"/>
  <c r="U567" i="34"/>
  <c r="U576" i="34"/>
  <c r="U582" i="34"/>
  <c r="U585" i="34"/>
  <c r="U594" i="34"/>
  <c r="U597" i="34"/>
  <c r="U603" i="34"/>
  <c r="U608" i="34"/>
  <c r="U616" i="34"/>
  <c r="U624" i="34"/>
  <c r="U633" i="34"/>
  <c r="U636" i="34"/>
  <c r="U641" i="34"/>
  <c r="U653" i="34"/>
  <c r="U664" i="34"/>
  <c r="U671" i="34"/>
  <c r="U672" i="34"/>
  <c r="U683" i="34"/>
  <c r="U690" i="34"/>
  <c r="U691" i="34"/>
  <c r="U694" i="34"/>
  <c r="U696" i="34"/>
  <c r="U698" i="34"/>
  <c r="U704" i="34"/>
  <c r="U707" i="34"/>
  <c r="U709" i="34"/>
  <c r="U721" i="34"/>
  <c r="U726" i="34"/>
  <c r="U730" i="34"/>
  <c r="U741" i="34"/>
  <c r="U745" i="34"/>
  <c r="U752" i="34"/>
  <c r="U762" i="34"/>
  <c r="U767" i="34"/>
  <c r="U771" i="34"/>
  <c r="U773" i="34"/>
  <c r="V28" i="34"/>
  <c r="V38" i="34"/>
  <c r="V42" i="34"/>
  <c r="V47" i="34"/>
  <c r="V57" i="34"/>
  <c r="V63" i="34"/>
  <c r="V65" i="34"/>
  <c r="V71" i="34"/>
  <c r="V77" i="34"/>
  <c r="V78" i="34"/>
  <c r="V85" i="34"/>
  <c r="V86" i="34"/>
  <c r="V92" i="34"/>
  <c r="V96" i="34"/>
  <c r="V106" i="34"/>
  <c r="V110" i="34"/>
  <c r="V115" i="34"/>
  <c r="V123" i="34"/>
  <c r="V139" i="34"/>
  <c r="V141" i="34"/>
  <c r="V142" i="34"/>
  <c r="V147" i="34"/>
  <c r="V153" i="34"/>
  <c r="V156" i="34"/>
  <c r="V162" i="34"/>
  <c r="V168" i="34"/>
  <c r="V174" i="34"/>
  <c r="V179" i="34"/>
  <c r="V190" i="34"/>
  <c r="V195" i="34"/>
  <c r="V199" i="34"/>
  <c r="V203" i="34"/>
  <c r="V213" i="34"/>
  <c r="V216" i="34"/>
  <c r="V217" i="34"/>
  <c r="V222" i="34"/>
  <c r="V231" i="34"/>
  <c r="V233" i="34"/>
  <c r="V236" i="34"/>
  <c r="V244" i="34"/>
  <c r="V253" i="34"/>
  <c r="V255" i="34"/>
  <c r="V259" i="34"/>
  <c r="V270" i="34"/>
  <c r="V271" i="34"/>
  <c r="V283" i="34"/>
  <c r="V296" i="34"/>
  <c r="V304" i="34"/>
  <c r="V311" i="34"/>
  <c r="V314" i="34"/>
  <c r="V317" i="34"/>
  <c r="V319" i="34"/>
  <c r="V322" i="34"/>
  <c r="V334" i="34"/>
  <c r="V336" i="34"/>
  <c r="V367" i="34"/>
  <c r="V371" i="34"/>
  <c r="V374" i="34"/>
  <c r="V387" i="34"/>
  <c r="V389" i="34"/>
  <c r="V404" i="34"/>
  <c r="V406" i="34"/>
  <c r="V410" i="34"/>
  <c r="V418" i="34"/>
  <c r="V426" i="34"/>
  <c r="V431" i="34"/>
  <c r="V433" i="34"/>
  <c r="V438" i="34"/>
  <c r="V441" i="34"/>
  <c r="V445" i="34"/>
  <c r="V453" i="34"/>
  <c r="V457" i="34"/>
  <c r="V461" i="34"/>
  <c r="V470" i="34"/>
  <c r="V473" i="34"/>
  <c r="V481" i="34"/>
  <c r="V484" i="34"/>
  <c r="V490" i="34"/>
  <c r="V498" i="34"/>
  <c r="V504" i="34"/>
  <c r="V508" i="34"/>
  <c r="V516" i="34"/>
  <c r="V525" i="34"/>
  <c r="V531" i="34"/>
  <c r="V533" i="34"/>
  <c r="V553" i="34"/>
  <c r="V559" i="34"/>
  <c r="V567" i="34"/>
  <c r="V576" i="34"/>
  <c r="V582" i="34"/>
  <c r="V585" i="34"/>
  <c r="V594" i="34"/>
  <c r="V597" i="34"/>
  <c r="V603" i="34"/>
  <c r="V608" i="34"/>
  <c r="V616" i="34"/>
  <c r="V624" i="34"/>
  <c r="V633" i="34"/>
  <c r="V636" i="34"/>
  <c r="V641" i="34"/>
  <c r="V653" i="34"/>
  <c r="V664" i="34"/>
  <c r="V671" i="34"/>
  <c r="V672" i="34"/>
  <c r="V683" i="34"/>
  <c r="V690" i="34"/>
  <c r="V691" i="34"/>
  <c r="V694" i="34"/>
  <c r="V696" i="34"/>
  <c r="V698" i="34"/>
  <c r="V704" i="34"/>
  <c r="V707" i="34"/>
  <c r="V709" i="34"/>
  <c r="V721" i="34"/>
  <c r="V726" i="34"/>
  <c r="V730" i="34"/>
  <c r="V741" i="34"/>
  <c r="V745" i="34"/>
  <c r="V752" i="34"/>
  <c r="V762" i="34"/>
  <c r="V767" i="34"/>
  <c r="V771" i="34"/>
  <c r="V773" i="34"/>
  <c r="W28" i="34"/>
  <c r="W38" i="34"/>
  <c r="W42" i="34"/>
  <c r="W47" i="34"/>
  <c r="W57" i="34"/>
  <c r="W63" i="34"/>
  <c r="W65" i="34"/>
  <c r="W71" i="34"/>
  <c r="W77" i="34"/>
  <c r="W78" i="34"/>
  <c r="W85" i="34"/>
  <c r="W86" i="34"/>
  <c r="W92" i="34"/>
  <c r="W96" i="34"/>
  <c r="W106" i="34"/>
  <c r="W110" i="34"/>
  <c r="W115" i="34"/>
  <c r="W123" i="34"/>
  <c r="W139" i="34"/>
  <c r="W141" i="34"/>
  <c r="W142" i="34"/>
  <c r="W147" i="34"/>
  <c r="W153" i="34"/>
  <c r="W156" i="34"/>
  <c r="W162" i="34"/>
  <c r="W168" i="34"/>
  <c r="W174" i="34"/>
  <c r="W179" i="34"/>
  <c r="W190" i="34"/>
  <c r="W195" i="34"/>
  <c r="W199" i="34"/>
  <c r="W203" i="34"/>
  <c r="W213" i="34"/>
  <c r="W216" i="34"/>
  <c r="W217" i="34"/>
  <c r="W222" i="34"/>
  <c r="W231" i="34"/>
  <c r="W233" i="34"/>
  <c r="W236" i="34"/>
  <c r="W244" i="34"/>
  <c r="W253" i="34"/>
  <c r="W255" i="34"/>
  <c r="W259" i="34"/>
  <c r="W270" i="34"/>
  <c r="W271" i="34"/>
  <c r="W283" i="34"/>
  <c r="W296" i="34"/>
  <c r="W304" i="34"/>
  <c r="W311" i="34"/>
  <c r="W314" i="34"/>
  <c r="W317" i="34"/>
  <c r="W319" i="34"/>
  <c r="W322" i="34"/>
  <c r="W334" i="34"/>
  <c r="W336" i="34"/>
  <c r="W367" i="34"/>
  <c r="W371" i="34"/>
  <c r="W374" i="34"/>
  <c r="W387" i="34"/>
  <c r="W389" i="34"/>
  <c r="W404" i="34"/>
  <c r="W406" i="34"/>
  <c r="W410" i="34"/>
  <c r="W418" i="34"/>
  <c r="W426" i="34"/>
  <c r="W431" i="34"/>
  <c r="W433" i="34"/>
  <c r="W438" i="34"/>
  <c r="W441" i="34"/>
  <c r="W445" i="34"/>
  <c r="W453" i="34"/>
  <c r="W457" i="34"/>
  <c r="W461" i="34"/>
  <c r="W470" i="34"/>
  <c r="W473" i="34"/>
  <c r="W481" i="34"/>
  <c r="W484" i="34"/>
  <c r="W490" i="34"/>
  <c r="W498" i="34"/>
  <c r="W504" i="34"/>
  <c r="W508" i="34"/>
  <c r="W516" i="34"/>
  <c r="W525" i="34"/>
  <c r="W531" i="34"/>
  <c r="W533" i="34"/>
  <c r="W553" i="34"/>
  <c r="W559" i="34"/>
  <c r="W567" i="34"/>
  <c r="W576" i="34"/>
  <c r="W582" i="34"/>
  <c r="W585" i="34"/>
  <c r="W594" i="34"/>
  <c r="W597" i="34"/>
  <c r="W603" i="34"/>
  <c r="W608" i="34"/>
  <c r="W616" i="34"/>
  <c r="W624" i="34"/>
  <c r="W633" i="34"/>
  <c r="W636" i="34"/>
  <c r="W641" i="34"/>
  <c r="W653" i="34"/>
  <c r="W664" i="34"/>
  <c r="W671" i="34"/>
  <c r="W672" i="34"/>
  <c r="W683" i="34"/>
  <c r="W690" i="34"/>
  <c r="W691" i="34"/>
  <c r="W694" i="34"/>
  <c r="W696" i="34"/>
  <c r="W698" i="34"/>
  <c r="W704" i="34"/>
  <c r="W707" i="34"/>
  <c r="W709" i="34"/>
  <c r="W721" i="34"/>
  <c r="W726" i="34"/>
  <c r="W730" i="34"/>
  <c r="W741" i="34"/>
  <c r="W745" i="34"/>
  <c r="W752" i="34"/>
  <c r="W762" i="34"/>
  <c r="W767" i="34"/>
  <c r="W771" i="34"/>
  <c r="W773" i="34"/>
  <c r="X28" i="34"/>
  <c r="X38" i="34"/>
  <c r="X42" i="34"/>
  <c r="X47" i="34"/>
  <c r="X57" i="34"/>
  <c r="X63" i="34"/>
  <c r="X65" i="34"/>
  <c r="X71" i="34"/>
  <c r="X77" i="34"/>
  <c r="X78" i="34"/>
  <c r="X85" i="34"/>
  <c r="X86" i="34"/>
  <c r="X92" i="34"/>
  <c r="X96" i="34"/>
  <c r="X106" i="34"/>
  <c r="X110" i="34"/>
  <c r="X115" i="34"/>
  <c r="X123" i="34"/>
  <c r="X139" i="34"/>
  <c r="X141" i="34"/>
  <c r="X142" i="34"/>
  <c r="X147" i="34"/>
  <c r="X153" i="34"/>
  <c r="X156" i="34"/>
  <c r="X162" i="34"/>
  <c r="X168" i="34"/>
  <c r="X174" i="34"/>
  <c r="X179" i="34"/>
  <c r="X190" i="34"/>
  <c r="X195" i="34"/>
  <c r="X199" i="34"/>
  <c r="X203" i="34"/>
  <c r="X213" i="34"/>
  <c r="X216" i="34"/>
  <c r="X217" i="34"/>
  <c r="X222" i="34"/>
  <c r="X231" i="34"/>
  <c r="X233" i="34"/>
  <c r="X236" i="34"/>
  <c r="X244" i="34"/>
  <c r="X253" i="34"/>
  <c r="X255" i="34"/>
  <c r="X259" i="34"/>
  <c r="X270" i="34"/>
  <c r="X271" i="34"/>
  <c r="X283" i="34"/>
  <c r="X296" i="34"/>
  <c r="X304" i="34"/>
  <c r="X311" i="34"/>
  <c r="X314" i="34"/>
  <c r="X317" i="34"/>
  <c r="X319" i="34"/>
  <c r="X322" i="34"/>
  <c r="X334" i="34"/>
  <c r="X336" i="34"/>
  <c r="X367" i="34"/>
  <c r="X371" i="34"/>
  <c r="X374" i="34"/>
  <c r="X387" i="34"/>
  <c r="X389" i="34"/>
  <c r="X404" i="34"/>
  <c r="X406" i="34"/>
  <c r="X410" i="34"/>
  <c r="X418" i="34"/>
  <c r="X426" i="34"/>
  <c r="X431" i="34"/>
  <c r="X433" i="34"/>
  <c r="X438" i="34"/>
  <c r="X441" i="34"/>
  <c r="X445" i="34"/>
  <c r="X453" i="34"/>
  <c r="X457" i="34"/>
  <c r="X461" i="34"/>
  <c r="X470" i="34"/>
  <c r="X473" i="34"/>
  <c r="X481" i="34"/>
  <c r="X484" i="34"/>
  <c r="X490" i="34"/>
  <c r="X498" i="34"/>
  <c r="X504" i="34"/>
  <c r="X508" i="34"/>
  <c r="X516" i="34"/>
  <c r="X525" i="34"/>
  <c r="X531" i="34"/>
  <c r="X533" i="34"/>
  <c r="X553" i="34"/>
  <c r="X559" i="34"/>
  <c r="X567" i="34"/>
  <c r="X576" i="34"/>
  <c r="X582" i="34"/>
  <c r="X585" i="34"/>
  <c r="X594" i="34"/>
  <c r="X597" i="34"/>
  <c r="X603" i="34"/>
  <c r="X608" i="34"/>
  <c r="X616" i="34"/>
  <c r="X624" i="34"/>
  <c r="X633" i="34"/>
  <c r="X636" i="34"/>
  <c r="X641" i="34"/>
  <c r="X653" i="34"/>
  <c r="X664" i="34"/>
  <c r="X671" i="34"/>
  <c r="X672" i="34"/>
  <c r="X683" i="34"/>
  <c r="X690" i="34"/>
  <c r="X691" i="34"/>
  <c r="X694" i="34"/>
  <c r="X696" i="34"/>
  <c r="X698" i="34"/>
  <c r="X704" i="34"/>
  <c r="X707" i="34"/>
  <c r="X709" i="34"/>
  <c r="X721" i="34"/>
  <c r="X726" i="34"/>
  <c r="X730" i="34"/>
  <c r="X741" i="34"/>
  <c r="X745" i="34"/>
  <c r="X752" i="34"/>
  <c r="X762" i="34"/>
  <c r="X767" i="34"/>
  <c r="X771" i="34"/>
  <c r="X773" i="34"/>
  <c r="Y28" i="34"/>
  <c r="Y38" i="34"/>
  <c r="Y42" i="34"/>
  <c r="Y47" i="34"/>
  <c r="Y57" i="34"/>
  <c r="Y63" i="34"/>
  <c r="Y65" i="34"/>
  <c r="Y71" i="34"/>
  <c r="Y77" i="34"/>
  <c r="Y78" i="34"/>
  <c r="Y85" i="34"/>
  <c r="Y86" i="34"/>
  <c r="Y92" i="34"/>
  <c r="Y96" i="34"/>
  <c r="Y106" i="34"/>
  <c r="Y110" i="34"/>
  <c r="Y115" i="34"/>
  <c r="Y123" i="34"/>
  <c r="Y139" i="34"/>
  <c r="Y141" i="34"/>
  <c r="Y142" i="34"/>
  <c r="Y147" i="34"/>
  <c r="Y153" i="34"/>
  <c r="Y156" i="34"/>
  <c r="Y162" i="34"/>
  <c r="Y168" i="34"/>
  <c r="Y174" i="34"/>
  <c r="Y179" i="34"/>
  <c r="Y190" i="34"/>
  <c r="Y195" i="34"/>
  <c r="Y199" i="34"/>
  <c r="Y203" i="34"/>
  <c r="Y213" i="34"/>
  <c r="Y216" i="34"/>
  <c r="Y217" i="34"/>
  <c r="Y222" i="34"/>
  <c r="Y231" i="34"/>
  <c r="Y233" i="34"/>
  <c r="Y236" i="34"/>
  <c r="Y244" i="34"/>
  <c r="Y253" i="34"/>
  <c r="Y255" i="34"/>
  <c r="Y259" i="34"/>
  <c r="Y270" i="34"/>
  <c r="Y271" i="34"/>
  <c r="Y283" i="34"/>
  <c r="Y296" i="34"/>
  <c r="Y304" i="34"/>
  <c r="Y311" i="34"/>
  <c r="Y314" i="34"/>
  <c r="Y317" i="34"/>
  <c r="Y319" i="34"/>
  <c r="Y322" i="34"/>
  <c r="Y334" i="34"/>
  <c r="Y336" i="34"/>
  <c r="Y367" i="34"/>
  <c r="Y371" i="34"/>
  <c r="Y374" i="34"/>
  <c r="Y387" i="34"/>
  <c r="Y389" i="34"/>
  <c r="Y404" i="34"/>
  <c r="Y406" i="34"/>
  <c r="Y410" i="34"/>
  <c r="Y418" i="34"/>
  <c r="Y426" i="34"/>
  <c r="Y431" i="34"/>
  <c r="Y433" i="34"/>
  <c r="Y438" i="34"/>
  <c r="Y441" i="34"/>
  <c r="Y445" i="34"/>
  <c r="Y453" i="34"/>
  <c r="Y457" i="34"/>
  <c r="Y461" i="34"/>
  <c r="Y470" i="34"/>
  <c r="Y473" i="34"/>
  <c r="Y481" i="34"/>
  <c r="Y484" i="34"/>
  <c r="Y490" i="34"/>
  <c r="Y498" i="34"/>
  <c r="Y504" i="34"/>
  <c r="Y508" i="34"/>
  <c r="Y516" i="34"/>
  <c r="Y525" i="34"/>
  <c r="Y531" i="34"/>
  <c r="Y533" i="34"/>
  <c r="Y553" i="34"/>
  <c r="Y559" i="34"/>
  <c r="Y567" i="34"/>
  <c r="Y576" i="34"/>
  <c r="Y582" i="34"/>
  <c r="Y585" i="34"/>
  <c r="Y594" i="34"/>
  <c r="Y597" i="34"/>
  <c r="Y603" i="34"/>
  <c r="Y608" i="34"/>
  <c r="Y616" i="34"/>
  <c r="Y624" i="34"/>
  <c r="Y633" i="34"/>
  <c r="Y636" i="34"/>
  <c r="Y641" i="34"/>
  <c r="Y653" i="34"/>
  <c r="Y664" i="34"/>
  <c r="Y671" i="34"/>
  <c r="Y672" i="34"/>
  <c r="Y683" i="34"/>
  <c r="Y690" i="34"/>
  <c r="Y691" i="34"/>
  <c r="Y694" i="34"/>
  <c r="Y696" i="34"/>
  <c r="Y698" i="34"/>
  <c r="Y704" i="34"/>
  <c r="Y707" i="34"/>
  <c r="Y709" i="34"/>
  <c r="Y721" i="34"/>
  <c r="Y726" i="34"/>
  <c r="Y730" i="34"/>
  <c r="Y741" i="34"/>
  <c r="Y745" i="34"/>
  <c r="Y752" i="34"/>
  <c r="Y762" i="34"/>
  <c r="Y767" i="34"/>
  <c r="Y771" i="34"/>
  <c r="Y773" i="34"/>
  <c r="Z28" i="34"/>
  <c r="Z38" i="34"/>
  <c r="Z42" i="34"/>
  <c r="Z47" i="34"/>
  <c r="Z57" i="34"/>
  <c r="Z63" i="34"/>
  <c r="Z65" i="34"/>
  <c r="Z71" i="34"/>
  <c r="Z77" i="34"/>
  <c r="Z78" i="34"/>
  <c r="Z85" i="34"/>
  <c r="Z86" i="34"/>
  <c r="Z92" i="34"/>
  <c r="Z96" i="34"/>
  <c r="Z106" i="34"/>
  <c r="Z110" i="34"/>
  <c r="Z115" i="34"/>
  <c r="Z123" i="34"/>
  <c r="Z139" i="34"/>
  <c r="Z141" i="34"/>
  <c r="Z142" i="34"/>
  <c r="Z147" i="34"/>
  <c r="Z153" i="34"/>
  <c r="Z156" i="34"/>
  <c r="Z162" i="34"/>
  <c r="Z168" i="34"/>
  <c r="Z174" i="34"/>
  <c r="Z179" i="34"/>
  <c r="Z190" i="34"/>
  <c r="Z195" i="34"/>
  <c r="Z199" i="34"/>
  <c r="Z203" i="34"/>
  <c r="Z213" i="34"/>
  <c r="Z216" i="34"/>
  <c r="Z217" i="34"/>
  <c r="Z222" i="34"/>
  <c r="Z231" i="34"/>
  <c r="Z233" i="34"/>
  <c r="Z236" i="34"/>
  <c r="Z244" i="34"/>
  <c r="Z253" i="34"/>
  <c r="Z255" i="34"/>
  <c r="Z259" i="34"/>
  <c r="Z270" i="34"/>
  <c r="Z271" i="34"/>
  <c r="Z283" i="34"/>
  <c r="Z296" i="34"/>
  <c r="Z304" i="34"/>
  <c r="Z311" i="34"/>
  <c r="Z314" i="34"/>
  <c r="Z317" i="34"/>
  <c r="Z319" i="34"/>
  <c r="Z322" i="34"/>
  <c r="Z334" i="34"/>
  <c r="Z336" i="34"/>
  <c r="Z367" i="34"/>
  <c r="Z371" i="34"/>
  <c r="Z374" i="34"/>
  <c r="Z387" i="34"/>
  <c r="Z389" i="34"/>
  <c r="Z404" i="34"/>
  <c r="Z406" i="34"/>
  <c r="Z410" i="34"/>
  <c r="Z418" i="34"/>
  <c r="Z426" i="34"/>
  <c r="Z431" i="34"/>
  <c r="Z433" i="34"/>
  <c r="Z438" i="34"/>
  <c r="Z441" i="34"/>
  <c r="Z445" i="34"/>
  <c r="Z453" i="34"/>
  <c r="Z457" i="34"/>
  <c r="Z461" i="34"/>
  <c r="Z470" i="34"/>
  <c r="Z473" i="34"/>
  <c r="Z481" i="34"/>
  <c r="Z484" i="34"/>
  <c r="Z490" i="34"/>
  <c r="Z498" i="34"/>
  <c r="Z504" i="34"/>
  <c r="Z508" i="34"/>
  <c r="Z516" i="34"/>
  <c r="Z525" i="34"/>
  <c r="Z531" i="34"/>
  <c r="Z533" i="34"/>
  <c r="Z553" i="34"/>
  <c r="Z559" i="34"/>
  <c r="Z567" i="34"/>
  <c r="Z576" i="34"/>
  <c r="Z582" i="34"/>
  <c r="Z585" i="34"/>
  <c r="Z594" i="34"/>
  <c r="Z597" i="34"/>
  <c r="Z603" i="34"/>
  <c r="Z608" i="34"/>
  <c r="Z616" i="34"/>
  <c r="Z624" i="34"/>
  <c r="Z633" i="34"/>
  <c r="Z636" i="34"/>
  <c r="Z641" i="34"/>
  <c r="Z653" i="34"/>
  <c r="Z664" i="34"/>
  <c r="Z671" i="34"/>
  <c r="Z672" i="34"/>
  <c r="Z683" i="34"/>
  <c r="Z690" i="34"/>
  <c r="Z691" i="34"/>
  <c r="Z694" i="34"/>
  <c r="Z696" i="34"/>
  <c r="Z698" i="34"/>
  <c r="Z704" i="34"/>
  <c r="Z707" i="34"/>
  <c r="Z709" i="34"/>
  <c r="Z721" i="34"/>
  <c r="Z726" i="34"/>
  <c r="Z730" i="34"/>
  <c r="Z741" i="34"/>
  <c r="Z745" i="34"/>
  <c r="Z752" i="34"/>
  <c r="Z762" i="34"/>
  <c r="Z767" i="34"/>
  <c r="Z771" i="34"/>
  <c r="Z773" i="34"/>
  <c r="AA28" i="34"/>
  <c r="AA38" i="34"/>
  <c r="AA42" i="34"/>
  <c r="AA47" i="34"/>
  <c r="AA57" i="34"/>
  <c r="AA63" i="34"/>
  <c r="AA65" i="34"/>
  <c r="AA71" i="34"/>
  <c r="AA77" i="34"/>
  <c r="AA78" i="34"/>
  <c r="AA85" i="34"/>
  <c r="AA86" i="34"/>
  <c r="AA92" i="34"/>
  <c r="AA96" i="34"/>
  <c r="AA106" i="34"/>
  <c r="AA110" i="34"/>
  <c r="AA115" i="34"/>
  <c r="AA123" i="34"/>
  <c r="AA139" i="34"/>
  <c r="AA141" i="34"/>
  <c r="AA142" i="34"/>
  <c r="AA147" i="34"/>
  <c r="AA153" i="34"/>
  <c r="AA156" i="34"/>
  <c r="AA162" i="34"/>
  <c r="AA168" i="34"/>
  <c r="AA174" i="34"/>
  <c r="AA179" i="34"/>
  <c r="AA190" i="34"/>
  <c r="AA195" i="34"/>
  <c r="AA199" i="34"/>
  <c r="AA203" i="34"/>
  <c r="AA213" i="34"/>
  <c r="AA216" i="34"/>
  <c r="AA217" i="34"/>
  <c r="AA222" i="34"/>
  <c r="AA231" i="34"/>
  <c r="AA233" i="34"/>
  <c r="AA236" i="34"/>
  <c r="AA244" i="34"/>
  <c r="AA253" i="34"/>
  <c r="AA255" i="34"/>
  <c r="AA259" i="34"/>
  <c r="AA270" i="34"/>
  <c r="AA271" i="34"/>
  <c r="AA283" i="34"/>
  <c r="AA296" i="34"/>
  <c r="AA304" i="34"/>
  <c r="AA311" i="34"/>
  <c r="AA314" i="34"/>
  <c r="AA317" i="34"/>
  <c r="AA319" i="34"/>
  <c r="AA322" i="34"/>
  <c r="AA334" i="34"/>
  <c r="AA336" i="34"/>
  <c r="AA367" i="34"/>
  <c r="AA371" i="34"/>
  <c r="AA374" i="34"/>
  <c r="AA387" i="34"/>
  <c r="AA389" i="34"/>
  <c r="AA404" i="34"/>
  <c r="AA406" i="34"/>
  <c r="AA410" i="34"/>
  <c r="AA418" i="34"/>
  <c r="AA426" i="34"/>
  <c r="AA431" i="34"/>
  <c r="AA433" i="34"/>
  <c r="AA438" i="34"/>
  <c r="AA441" i="34"/>
  <c r="AA445" i="34"/>
  <c r="AA453" i="34"/>
  <c r="AA457" i="34"/>
  <c r="AA461" i="34"/>
  <c r="AA470" i="34"/>
  <c r="AA473" i="34"/>
  <c r="AA481" i="34"/>
  <c r="AA484" i="34"/>
  <c r="AA490" i="34"/>
  <c r="AA498" i="34"/>
  <c r="AA504" i="34"/>
  <c r="AA508" i="34"/>
  <c r="AA516" i="34"/>
  <c r="AA525" i="34"/>
  <c r="AA531" i="34"/>
  <c r="AA533" i="34"/>
  <c r="AA553" i="34"/>
  <c r="AA559" i="34"/>
  <c r="AA567" i="34"/>
  <c r="AA576" i="34"/>
  <c r="AA582" i="34"/>
  <c r="AA585" i="34"/>
  <c r="AA594" i="34"/>
  <c r="AA597" i="34"/>
  <c r="AA603" i="34"/>
  <c r="AA608" i="34"/>
  <c r="AA616" i="34"/>
  <c r="AA624" i="34"/>
  <c r="AA633" i="34"/>
  <c r="AA636" i="34"/>
  <c r="AA641" i="34"/>
  <c r="AA653" i="34"/>
  <c r="AA664" i="34"/>
  <c r="AA671" i="34"/>
  <c r="AA672" i="34"/>
  <c r="AA683" i="34"/>
  <c r="AA690" i="34"/>
  <c r="AA691" i="34"/>
  <c r="AA694" i="34"/>
  <c r="AA696" i="34"/>
  <c r="AA698" i="34"/>
  <c r="AA704" i="34"/>
  <c r="AA707" i="34"/>
  <c r="AA709" i="34"/>
  <c r="AA721" i="34"/>
  <c r="AA726" i="34"/>
  <c r="AA730" i="34"/>
  <c r="AA741" i="34"/>
  <c r="AA745" i="34"/>
  <c r="AA752" i="34"/>
  <c r="AA762" i="34"/>
  <c r="AA767" i="34"/>
  <c r="AA771" i="34"/>
  <c r="AA773" i="34"/>
  <c r="AB28" i="34"/>
  <c r="AB38" i="34"/>
  <c r="AB42" i="34"/>
  <c r="AB47" i="34"/>
  <c r="AB57" i="34"/>
  <c r="AB63" i="34"/>
  <c r="AB65" i="34"/>
  <c r="AB71" i="34"/>
  <c r="AB77" i="34"/>
  <c r="AB78" i="34"/>
  <c r="AB85" i="34"/>
  <c r="AB86" i="34"/>
  <c r="AB92" i="34"/>
  <c r="AB96" i="34"/>
  <c r="AB106" i="34"/>
  <c r="AB110" i="34"/>
  <c r="AB115" i="34"/>
  <c r="AB123" i="34"/>
  <c r="AB139" i="34"/>
  <c r="AB141" i="34"/>
  <c r="AB142" i="34"/>
  <c r="AB147" i="34"/>
  <c r="AB153" i="34"/>
  <c r="AB156" i="34"/>
  <c r="AB162" i="34"/>
  <c r="AB168" i="34"/>
  <c r="AB174" i="34"/>
  <c r="AB179" i="34"/>
  <c r="AB190" i="34"/>
  <c r="AB195" i="34"/>
  <c r="AB199" i="34"/>
  <c r="AB203" i="34"/>
  <c r="AB213" i="34"/>
  <c r="AB216" i="34"/>
  <c r="AB217" i="34"/>
  <c r="AB222" i="34"/>
  <c r="AB231" i="34"/>
  <c r="AB233" i="34"/>
  <c r="AB236" i="34"/>
  <c r="AB244" i="34"/>
  <c r="AB253" i="34"/>
  <c r="AB255" i="34"/>
  <c r="AB259" i="34"/>
  <c r="AB270" i="34"/>
  <c r="AB271" i="34"/>
  <c r="AB283" i="34"/>
  <c r="AB296" i="34"/>
  <c r="AB304" i="34"/>
  <c r="AB311" i="34"/>
  <c r="AB314" i="34"/>
  <c r="AB317" i="34"/>
  <c r="AB319" i="34"/>
  <c r="AB322" i="34"/>
  <c r="AB334" i="34"/>
  <c r="AB336" i="34"/>
  <c r="AB367" i="34"/>
  <c r="AB371" i="34"/>
  <c r="AB374" i="34"/>
  <c r="AB387" i="34"/>
  <c r="AB389" i="34"/>
  <c r="AB404" i="34"/>
  <c r="AB406" i="34"/>
  <c r="AB410" i="34"/>
  <c r="AB418" i="34"/>
  <c r="AB426" i="34"/>
  <c r="AB431" i="34"/>
  <c r="AB433" i="34"/>
  <c r="AB438" i="34"/>
  <c r="AB441" i="34"/>
  <c r="AB445" i="34"/>
  <c r="AB453" i="34"/>
  <c r="AB457" i="34"/>
  <c r="AB461" i="34"/>
  <c r="AB470" i="34"/>
  <c r="AB473" i="34"/>
  <c r="AB481" i="34"/>
  <c r="AB484" i="34"/>
  <c r="AB490" i="34"/>
  <c r="AB498" i="34"/>
  <c r="AB504" i="34"/>
  <c r="AB508" i="34"/>
  <c r="AB516" i="34"/>
  <c r="AB525" i="34"/>
  <c r="AB531" i="34"/>
  <c r="AB533" i="34"/>
  <c r="AB553" i="34"/>
  <c r="AB559" i="34"/>
  <c r="AB567" i="34"/>
  <c r="AB576" i="34"/>
  <c r="AB582" i="34"/>
  <c r="AB585" i="34"/>
  <c r="AB594" i="34"/>
  <c r="AB597" i="34"/>
  <c r="AB603" i="34"/>
  <c r="AB608" i="34"/>
  <c r="AB616" i="34"/>
  <c r="AB624" i="34"/>
  <c r="AB633" i="34"/>
  <c r="AB636" i="34"/>
  <c r="AB641" i="34"/>
  <c r="AB653" i="34"/>
  <c r="AB664" i="34"/>
  <c r="AB671" i="34"/>
  <c r="AB672" i="34"/>
  <c r="AB683" i="34"/>
  <c r="AB690" i="34"/>
  <c r="AB691" i="34"/>
  <c r="AB694" i="34"/>
  <c r="AB696" i="34"/>
  <c r="AB698" i="34"/>
  <c r="AB704" i="34"/>
  <c r="AB707" i="34"/>
  <c r="AB709" i="34"/>
  <c r="AB721" i="34"/>
  <c r="AB726" i="34"/>
  <c r="AB730" i="34"/>
  <c r="AB741" i="34"/>
  <c r="AB745" i="34"/>
  <c r="AB752" i="34"/>
  <c r="AB762" i="34"/>
  <c r="AB767" i="34"/>
  <c r="AB771" i="34"/>
  <c r="AB773" i="34"/>
  <c r="AC28" i="34"/>
  <c r="AC38" i="34"/>
  <c r="AC42" i="34"/>
  <c r="AC47" i="34"/>
  <c r="AC57" i="34"/>
  <c r="AC63" i="34"/>
  <c r="AC65" i="34"/>
  <c r="AC71" i="34"/>
  <c r="AC77" i="34"/>
  <c r="AC78" i="34"/>
  <c r="AC85" i="34"/>
  <c r="AC86" i="34"/>
  <c r="AC92" i="34"/>
  <c r="AC96" i="34"/>
  <c r="AC106" i="34"/>
  <c r="AC110" i="34"/>
  <c r="AC115" i="34"/>
  <c r="AC123" i="34"/>
  <c r="AC139" i="34"/>
  <c r="AC141" i="34"/>
  <c r="AC142" i="34"/>
  <c r="AC147" i="34"/>
  <c r="AC153" i="34"/>
  <c r="AC156" i="34"/>
  <c r="AC162" i="34"/>
  <c r="AC168" i="34"/>
  <c r="AC174" i="34"/>
  <c r="AC179" i="34"/>
  <c r="AC190" i="34"/>
  <c r="AC195" i="34"/>
  <c r="AC199" i="34"/>
  <c r="AC203" i="34"/>
  <c r="AC213" i="34"/>
  <c r="AC216" i="34"/>
  <c r="AC217" i="34"/>
  <c r="AC222" i="34"/>
  <c r="AC231" i="34"/>
  <c r="AC233" i="34"/>
  <c r="AC236" i="34"/>
  <c r="AC244" i="34"/>
  <c r="AC253" i="34"/>
  <c r="AC255" i="34"/>
  <c r="AC259" i="34"/>
  <c r="AC270" i="34"/>
  <c r="AC271" i="34"/>
  <c r="AC283" i="34"/>
  <c r="AC296" i="34"/>
  <c r="AC304" i="34"/>
  <c r="AC311" i="34"/>
  <c r="AC314" i="34"/>
  <c r="AC317" i="34"/>
  <c r="AC319" i="34"/>
  <c r="AC322" i="34"/>
  <c r="AC334" i="34"/>
  <c r="AC336" i="34"/>
  <c r="AC367" i="34"/>
  <c r="AC371" i="34"/>
  <c r="AC374" i="34"/>
  <c r="AC387" i="34"/>
  <c r="AC389" i="34"/>
  <c r="AC404" i="34"/>
  <c r="AC406" i="34"/>
  <c r="AC410" i="34"/>
  <c r="AC418" i="34"/>
  <c r="AC426" i="34"/>
  <c r="AC431" i="34"/>
  <c r="AC433" i="34"/>
  <c r="AC438" i="34"/>
  <c r="AC441" i="34"/>
  <c r="AC445" i="34"/>
  <c r="AC453" i="34"/>
  <c r="AC457" i="34"/>
  <c r="AC461" i="34"/>
  <c r="AC470" i="34"/>
  <c r="AC473" i="34"/>
  <c r="AC481" i="34"/>
  <c r="AC484" i="34"/>
  <c r="AC490" i="34"/>
  <c r="AC498" i="34"/>
  <c r="AC504" i="34"/>
  <c r="AC508" i="34"/>
  <c r="AC516" i="34"/>
  <c r="AC525" i="34"/>
  <c r="AC531" i="34"/>
  <c r="AC533" i="34"/>
  <c r="AC553" i="34"/>
  <c r="AC559" i="34"/>
  <c r="AC567" i="34"/>
  <c r="AC576" i="34"/>
  <c r="AC582" i="34"/>
  <c r="AC585" i="34"/>
  <c r="AC594" i="34"/>
  <c r="AC597" i="34"/>
  <c r="AC603" i="34"/>
  <c r="AC608" i="34"/>
  <c r="AC616" i="34"/>
  <c r="AC624" i="34"/>
  <c r="AC633" i="34"/>
  <c r="AC636" i="34"/>
  <c r="AC641" i="34"/>
  <c r="AC653" i="34"/>
  <c r="AC664" i="34"/>
  <c r="AC671" i="34"/>
  <c r="AC672" i="34"/>
  <c r="AC683" i="34"/>
  <c r="AC690" i="34"/>
  <c r="AC691" i="34"/>
  <c r="AC694" i="34"/>
  <c r="AC696" i="34"/>
  <c r="AC698" i="34"/>
  <c r="AC704" i="34"/>
  <c r="AC707" i="34"/>
  <c r="AC709" i="34"/>
  <c r="AC721" i="34"/>
  <c r="AC726" i="34"/>
  <c r="AC730" i="34"/>
  <c r="AC741" i="34"/>
  <c r="AC745" i="34"/>
  <c r="AC752" i="34"/>
  <c r="AC762" i="34"/>
  <c r="AC767" i="34"/>
  <c r="AC771" i="34"/>
  <c r="AC773" i="34"/>
  <c r="AD28" i="34"/>
  <c r="AD38" i="34"/>
  <c r="AD42" i="34"/>
  <c r="AD47" i="34"/>
  <c r="AD57" i="34"/>
  <c r="AD63" i="34"/>
  <c r="AD65" i="34"/>
  <c r="AD71" i="34"/>
  <c r="AD77" i="34"/>
  <c r="AD78" i="34"/>
  <c r="AD85" i="34"/>
  <c r="AD86" i="34"/>
  <c r="AD92" i="34"/>
  <c r="AD96" i="34"/>
  <c r="AD106" i="34"/>
  <c r="AD110" i="34"/>
  <c r="AD115" i="34"/>
  <c r="AD123" i="34"/>
  <c r="AD139" i="34"/>
  <c r="AD141" i="34"/>
  <c r="AD142" i="34"/>
  <c r="AD147" i="34"/>
  <c r="AD153" i="34"/>
  <c r="AD156" i="34"/>
  <c r="AD162" i="34"/>
  <c r="AD168" i="34"/>
  <c r="AD174" i="34"/>
  <c r="AD179" i="34"/>
  <c r="AD190" i="34"/>
  <c r="AD195" i="34"/>
  <c r="AD199" i="34"/>
  <c r="AD203" i="34"/>
  <c r="AD213" i="34"/>
  <c r="AD216" i="34"/>
  <c r="AD217" i="34"/>
  <c r="AD222" i="34"/>
  <c r="AD231" i="34"/>
  <c r="AD233" i="34"/>
  <c r="AD236" i="34"/>
  <c r="AD244" i="34"/>
  <c r="AD253" i="34"/>
  <c r="AD255" i="34"/>
  <c r="AD259" i="34"/>
  <c r="AD270" i="34"/>
  <c r="AD271" i="34"/>
  <c r="AD283" i="34"/>
  <c r="AD296" i="34"/>
  <c r="AD304" i="34"/>
  <c r="AD311" i="34"/>
  <c r="AD314" i="34"/>
  <c r="AD317" i="34"/>
  <c r="AD319" i="34"/>
  <c r="AD322" i="34"/>
  <c r="AD334" i="34"/>
  <c r="AD336" i="34"/>
  <c r="AD367" i="34"/>
  <c r="AD371" i="34"/>
  <c r="AD374" i="34"/>
  <c r="AD387" i="34"/>
  <c r="AD389" i="34"/>
  <c r="AD404" i="34"/>
  <c r="AD406" i="34"/>
  <c r="AD410" i="34"/>
  <c r="AD418" i="34"/>
  <c r="AD426" i="34"/>
  <c r="AD431" i="34"/>
  <c r="AD433" i="34"/>
  <c r="AD438" i="34"/>
  <c r="AD441" i="34"/>
  <c r="AD445" i="34"/>
  <c r="AD453" i="34"/>
  <c r="AD457" i="34"/>
  <c r="AD461" i="34"/>
  <c r="AD470" i="34"/>
  <c r="AD473" i="34"/>
  <c r="AD481" i="34"/>
  <c r="AD484" i="34"/>
  <c r="AD490" i="34"/>
  <c r="AD498" i="34"/>
  <c r="AD504" i="34"/>
  <c r="AD508" i="34"/>
  <c r="AD516" i="34"/>
  <c r="AD525" i="34"/>
  <c r="AD531" i="34"/>
  <c r="AD533" i="34"/>
  <c r="AD553" i="34"/>
  <c r="AD559" i="34"/>
  <c r="AD567" i="34"/>
  <c r="AD576" i="34"/>
  <c r="AD582" i="34"/>
  <c r="AD585" i="34"/>
  <c r="AD594" i="34"/>
  <c r="AD597" i="34"/>
  <c r="AD603" i="34"/>
  <c r="AD608" i="34"/>
  <c r="AD616" i="34"/>
  <c r="AD624" i="34"/>
  <c r="AD633" i="34"/>
  <c r="AD636" i="34"/>
  <c r="AD641" i="34"/>
  <c r="AD653" i="34"/>
  <c r="AD664" i="34"/>
  <c r="AD671" i="34"/>
  <c r="AD672" i="34"/>
  <c r="AD683" i="34"/>
  <c r="AD690" i="34"/>
  <c r="AD691" i="34"/>
  <c r="AD694" i="34"/>
  <c r="AD696" i="34"/>
  <c r="AD698" i="34"/>
  <c r="AD704" i="34"/>
  <c r="AD707" i="34"/>
  <c r="AD709" i="34"/>
  <c r="AD721" i="34"/>
  <c r="AD726" i="34"/>
  <c r="AD730" i="34"/>
  <c r="AD741" i="34"/>
  <c r="AD745" i="34"/>
  <c r="AD752" i="34"/>
  <c r="AD762" i="34"/>
  <c r="AD767" i="34"/>
  <c r="AD771" i="34"/>
  <c r="AD773" i="34"/>
  <c r="AE28" i="34"/>
  <c r="AE38" i="34"/>
  <c r="AE42" i="34"/>
  <c r="AE47" i="34"/>
  <c r="AE57" i="34"/>
  <c r="AE63" i="34"/>
  <c r="AE65" i="34"/>
  <c r="AE71" i="34"/>
  <c r="AE77" i="34"/>
  <c r="AE78" i="34"/>
  <c r="AE85" i="34"/>
  <c r="AE86" i="34"/>
  <c r="AE92" i="34"/>
  <c r="AE96" i="34"/>
  <c r="AE106" i="34"/>
  <c r="AE110" i="34"/>
  <c r="AE115" i="34"/>
  <c r="AE123" i="34"/>
  <c r="AE139" i="34"/>
  <c r="AE141" i="34"/>
  <c r="AE142" i="34"/>
  <c r="AE147" i="34"/>
  <c r="AE153" i="34"/>
  <c r="AE156" i="34"/>
  <c r="AE162" i="34"/>
  <c r="AE168" i="34"/>
  <c r="AE174" i="34"/>
  <c r="AE179" i="34"/>
  <c r="AE190" i="34"/>
  <c r="AE195" i="34"/>
  <c r="AE199" i="34"/>
  <c r="AE203" i="34"/>
  <c r="AE213" i="34"/>
  <c r="AE216" i="34"/>
  <c r="AE217" i="34"/>
  <c r="AE222" i="34"/>
  <c r="AE231" i="34"/>
  <c r="AE233" i="34"/>
  <c r="AE236" i="34"/>
  <c r="AE244" i="34"/>
  <c r="AE253" i="34"/>
  <c r="AE255" i="34"/>
  <c r="AE259" i="34"/>
  <c r="AE270" i="34"/>
  <c r="AE271" i="34"/>
  <c r="AE283" i="34"/>
  <c r="AE296" i="34"/>
  <c r="AE304" i="34"/>
  <c r="AE311" i="34"/>
  <c r="AE314" i="34"/>
  <c r="AE317" i="34"/>
  <c r="AE319" i="34"/>
  <c r="AE322" i="34"/>
  <c r="AE334" i="34"/>
  <c r="AE336" i="34"/>
  <c r="AE367" i="34"/>
  <c r="AE371" i="34"/>
  <c r="AE374" i="34"/>
  <c r="AE387" i="34"/>
  <c r="AE389" i="34"/>
  <c r="AE404" i="34"/>
  <c r="AE406" i="34"/>
  <c r="AE410" i="34"/>
  <c r="AE418" i="34"/>
  <c r="AE426" i="34"/>
  <c r="AE431" i="34"/>
  <c r="AE433" i="34"/>
  <c r="AE438" i="34"/>
  <c r="AE441" i="34"/>
  <c r="AE445" i="34"/>
  <c r="AE453" i="34"/>
  <c r="AE457" i="34"/>
  <c r="AE461" i="34"/>
  <c r="AE470" i="34"/>
  <c r="AE473" i="34"/>
  <c r="AE481" i="34"/>
  <c r="AE484" i="34"/>
  <c r="AE490" i="34"/>
  <c r="AE498" i="34"/>
  <c r="AE504" i="34"/>
  <c r="AE508" i="34"/>
  <c r="AE516" i="34"/>
  <c r="AE525" i="34"/>
  <c r="AE531" i="34"/>
  <c r="AE533" i="34"/>
  <c r="AE553" i="34"/>
  <c r="AE559" i="34"/>
  <c r="AE567" i="34"/>
  <c r="AE576" i="34"/>
  <c r="AE582" i="34"/>
  <c r="AE585" i="34"/>
  <c r="AE594" i="34"/>
  <c r="AE597" i="34"/>
  <c r="AE603" i="34"/>
  <c r="AE608" i="34"/>
  <c r="AE616" i="34"/>
  <c r="AE624" i="34"/>
  <c r="AE633" i="34"/>
  <c r="AE636" i="34"/>
  <c r="AE641" i="34"/>
  <c r="AE653" i="34"/>
  <c r="AE664" i="34"/>
  <c r="AE671" i="34"/>
  <c r="AE672" i="34"/>
  <c r="AE683" i="34"/>
  <c r="AE690" i="34"/>
  <c r="AE691" i="34"/>
  <c r="AE694" i="34"/>
  <c r="AE696" i="34"/>
  <c r="AE698" i="34"/>
  <c r="AE704" i="34"/>
  <c r="AE707" i="34"/>
  <c r="AE709" i="34"/>
  <c r="AE721" i="34"/>
  <c r="AE726" i="34"/>
  <c r="AE730" i="34"/>
  <c r="AE741" i="34"/>
  <c r="AE745" i="34"/>
  <c r="AE752" i="34"/>
  <c r="AE762" i="34"/>
  <c r="AE767" i="34"/>
  <c r="AE771" i="34"/>
  <c r="AE773" i="34"/>
  <c r="AF28" i="34"/>
  <c r="AF38" i="34"/>
  <c r="AF42" i="34"/>
  <c r="AF47" i="34"/>
  <c r="AF57" i="34"/>
  <c r="AF63" i="34"/>
  <c r="AF65" i="34"/>
  <c r="AF71" i="34"/>
  <c r="AF77" i="34"/>
  <c r="AF78" i="34"/>
  <c r="AF85" i="34"/>
  <c r="AF86" i="34"/>
  <c r="AF92" i="34"/>
  <c r="AF96" i="34"/>
  <c r="AF106" i="34"/>
  <c r="AF110" i="34"/>
  <c r="AF115" i="34"/>
  <c r="AF123" i="34"/>
  <c r="AF139" i="34"/>
  <c r="AF141" i="34"/>
  <c r="AF142" i="34"/>
  <c r="AF147" i="34"/>
  <c r="AF153" i="34"/>
  <c r="AF156" i="34"/>
  <c r="AF162" i="34"/>
  <c r="AF168" i="34"/>
  <c r="AF174" i="34"/>
  <c r="AF179" i="34"/>
  <c r="AF190" i="34"/>
  <c r="AF195" i="34"/>
  <c r="AF199" i="34"/>
  <c r="AF203" i="34"/>
  <c r="AF213" i="34"/>
  <c r="AF216" i="34"/>
  <c r="AF217" i="34"/>
  <c r="AF222" i="34"/>
  <c r="AF231" i="34"/>
  <c r="AF233" i="34"/>
  <c r="AF236" i="34"/>
  <c r="AF244" i="34"/>
  <c r="AF253" i="34"/>
  <c r="AF255" i="34"/>
  <c r="AF259" i="34"/>
  <c r="AF270" i="34"/>
  <c r="AF271" i="34"/>
  <c r="AF283" i="34"/>
  <c r="AF296" i="34"/>
  <c r="AF304" i="34"/>
  <c r="AF311" i="34"/>
  <c r="AF314" i="34"/>
  <c r="AF317" i="34"/>
  <c r="AF319" i="34"/>
  <c r="AF322" i="34"/>
  <c r="AF334" i="34"/>
  <c r="AF336" i="34"/>
  <c r="AF367" i="34"/>
  <c r="AF371" i="34"/>
  <c r="AF374" i="34"/>
  <c r="AF387" i="34"/>
  <c r="AF389" i="34"/>
  <c r="AF404" i="34"/>
  <c r="AF406" i="34"/>
  <c r="AF410" i="34"/>
  <c r="AF418" i="34"/>
  <c r="AF426" i="34"/>
  <c r="AF431" i="34"/>
  <c r="AF433" i="34"/>
  <c r="AF438" i="34"/>
  <c r="AF441" i="34"/>
  <c r="AF445" i="34"/>
  <c r="AF453" i="34"/>
  <c r="AF457" i="34"/>
  <c r="AF461" i="34"/>
  <c r="AF470" i="34"/>
  <c r="AF473" i="34"/>
  <c r="AF481" i="34"/>
  <c r="AF484" i="34"/>
  <c r="AF490" i="34"/>
  <c r="AF498" i="34"/>
  <c r="AF504" i="34"/>
  <c r="AF508" i="34"/>
  <c r="AF516" i="34"/>
  <c r="AF525" i="34"/>
  <c r="AF531" i="34"/>
  <c r="AF533" i="34"/>
  <c r="AF553" i="34"/>
  <c r="AF559" i="34"/>
  <c r="AF567" i="34"/>
  <c r="AF576" i="34"/>
  <c r="AF582" i="34"/>
  <c r="AF585" i="34"/>
  <c r="AF594" i="34"/>
  <c r="AF597" i="34"/>
  <c r="AF603" i="34"/>
  <c r="AF608" i="34"/>
  <c r="AF616" i="34"/>
  <c r="AF624" i="34"/>
  <c r="AF633" i="34"/>
  <c r="AF636" i="34"/>
  <c r="AF641" i="34"/>
  <c r="AF653" i="34"/>
  <c r="AF664" i="34"/>
  <c r="AF671" i="34"/>
  <c r="AF672" i="34"/>
  <c r="AF683" i="34"/>
  <c r="AF690" i="34"/>
  <c r="AF691" i="34"/>
  <c r="AF694" i="34"/>
  <c r="AF696" i="34"/>
  <c r="AF698" i="34"/>
  <c r="AF704" i="34"/>
  <c r="AF707" i="34"/>
  <c r="AF709" i="34"/>
  <c r="AF721" i="34"/>
  <c r="AF726" i="34"/>
  <c r="AF730" i="34"/>
  <c r="AF741" i="34"/>
  <c r="AF745" i="34"/>
  <c r="AF752" i="34"/>
  <c r="AF762" i="34"/>
  <c r="AF767" i="34"/>
  <c r="AF771" i="34"/>
  <c r="AF773" i="34"/>
  <c r="AG28" i="34"/>
  <c r="AG38" i="34"/>
  <c r="AG42" i="34"/>
  <c r="AG47" i="34"/>
  <c r="AG57" i="34"/>
  <c r="AG63" i="34"/>
  <c r="AG65" i="34"/>
  <c r="AG71" i="34"/>
  <c r="AG77" i="34"/>
  <c r="AG78" i="34"/>
  <c r="AG85" i="34"/>
  <c r="AG86" i="34"/>
  <c r="AG92" i="34"/>
  <c r="AG96" i="34"/>
  <c r="AG106" i="34"/>
  <c r="AG110" i="34"/>
  <c r="AG115" i="34"/>
  <c r="AG123" i="34"/>
  <c r="AG139" i="34"/>
  <c r="AG141" i="34"/>
  <c r="AG142" i="34"/>
  <c r="AG147" i="34"/>
  <c r="AG153" i="34"/>
  <c r="AG156" i="34"/>
  <c r="AG162" i="34"/>
  <c r="AG168" i="34"/>
  <c r="AG174" i="34"/>
  <c r="AG179" i="34"/>
  <c r="AG190" i="34"/>
  <c r="AG195" i="34"/>
  <c r="AG199" i="34"/>
  <c r="AG203" i="34"/>
  <c r="AG213" i="34"/>
  <c r="AG216" i="34"/>
  <c r="AG217" i="34"/>
  <c r="AG222" i="34"/>
  <c r="AG231" i="34"/>
  <c r="AG233" i="34"/>
  <c r="AG236" i="34"/>
  <c r="AG244" i="34"/>
  <c r="AG253" i="34"/>
  <c r="AG255" i="34"/>
  <c r="AG259" i="34"/>
  <c r="AG270" i="34"/>
  <c r="AG271" i="34"/>
  <c r="AG283" i="34"/>
  <c r="AG296" i="34"/>
  <c r="AG304" i="34"/>
  <c r="AG311" i="34"/>
  <c r="AG314" i="34"/>
  <c r="AG317" i="34"/>
  <c r="AG319" i="34"/>
  <c r="AG322" i="34"/>
  <c r="AG334" i="34"/>
  <c r="AG336" i="34"/>
  <c r="AG367" i="34"/>
  <c r="AG371" i="34"/>
  <c r="AG374" i="34"/>
  <c r="AG387" i="34"/>
  <c r="AG389" i="34"/>
  <c r="AG404" i="34"/>
  <c r="AG406" i="34"/>
  <c r="AG410" i="34"/>
  <c r="AG418" i="34"/>
  <c r="AG426" i="34"/>
  <c r="AG431" i="34"/>
  <c r="AG433" i="34"/>
  <c r="AG438" i="34"/>
  <c r="AG441" i="34"/>
  <c r="AG445" i="34"/>
  <c r="AG453" i="34"/>
  <c r="AG457" i="34"/>
  <c r="AG461" i="34"/>
  <c r="AG470" i="34"/>
  <c r="AG473" i="34"/>
  <c r="AG481" i="34"/>
  <c r="AG484" i="34"/>
  <c r="AG490" i="34"/>
  <c r="AG498" i="34"/>
  <c r="AG504" i="34"/>
  <c r="AG508" i="34"/>
  <c r="AG516" i="34"/>
  <c r="AG525" i="34"/>
  <c r="AG531" i="34"/>
  <c r="AG533" i="34"/>
  <c r="AG553" i="34"/>
  <c r="AG559" i="34"/>
  <c r="AG567" i="34"/>
  <c r="AG576" i="34"/>
  <c r="AG582" i="34"/>
  <c r="AG585" i="34"/>
  <c r="AG594" i="34"/>
  <c r="AG597" i="34"/>
  <c r="AG603" i="34"/>
  <c r="AG608" i="34"/>
  <c r="AG616" i="34"/>
  <c r="AG624" i="34"/>
  <c r="AG633" i="34"/>
  <c r="AG636" i="34"/>
  <c r="AG641" i="34"/>
  <c r="AG653" i="34"/>
  <c r="AG664" i="34"/>
  <c r="AG671" i="34"/>
  <c r="AG672" i="34"/>
  <c r="AG683" i="34"/>
  <c r="AG690" i="34"/>
  <c r="AG691" i="34"/>
  <c r="AG694" i="34"/>
  <c r="AG696" i="34"/>
  <c r="AG698" i="34"/>
  <c r="AG704" i="34"/>
  <c r="AG707" i="34"/>
  <c r="AG709" i="34"/>
  <c r="AG721" i="34"/>
  <c r="AG726" i="34"/>
  <c r="AG730" i="34"/>
  <c r="AG741" i="34"/>
  <c r="AG745" i="34"/>
  <c r="AG752" i="34"/>
  <c r="AG762" i="34"/>
  <c r="AG767" i="34"/>
  <c r="AG771" i="34"/>
  <c r="AG773" i="34"/>
  <c r="D23" i="34"/>
  <c r="D30" i="34"/>
  <c r="D40" i="34"/>
  <c r="D52" i="34"/>
  <c r="D54" i="34"/>
  <c r="D67" i="34"/>
  <c r="D90" i="34"/>
  <c r="D97" i="34"/>
  <c r="D109" i="34"/>
  <c r="D113" i="34"/>
  <c r="D120" i="34"/>
  <c r="D122" i="34"/>
  <c r="D126" i="34"/>
  <c r="D128" i="34"/>
  <c r="D133" i="34"/>
  <c r="D136" i="34"/>
  <c r="D146" i="34"/>
  <c r="D151" i="34"/>
  <c r="D158" i="34"/>
  <c r="D166" i="34"/>
  <c r="D177" i="34"/>
  <c r="D208" i="34"/>
  <c r="D218" i="34"/>
  <c r="D220" i="34"/>
  <c r="D228" i="34"/>
  <c r="D252" i="34"/>
  <c r="D278" i="34"/>
  <c r="D279" i="34"/>
  <c r="D285" i="34"/>
  <c r="D295" i="34"/>
  <c r="D310" i="34"/>
  <c r="D321" i="34"/>
  <c r="D327" i="34"/>
  <c r="D332" i="34"/>
  <c r="D348" i="34"/>
  <c r="D363" i="34"/>
  <c r="D377" i="34"/>
  <c r="D385" i="34"/>
  <c r="D393" i="34"/>
  <c r="D395" i="34"/>
  <c r="D400" i="34"/>
  <c r="D415" i="34"/>
  <c r="D417" i="34"/>
  <c r="D428" i="34"/>
  <c r="D443" i="34"/>
  <c r="D455" i="34"/>
  <c r="D467" i="34"/>
  <c r="D482" i="34"/>
  <c r="D493" i="34"/>
  <c r="D496" i="34"/>
  <c r="D499" i="34"/>
  <c r="D507" i="34"/>
  <c r="D514" i="34"/>
  <c r="D523" i="34"/>
  <c r="D530" i="34"/>
  <c r="D550" i="34"/>
  <c r="D555" i="34"/>
  <c r="D562" i="34"/>
  <c r="D563" i="34"/>
  <c r="D584" i="34"/>
  <c r="D593" i="34"/>
  <c r="D610" i="34"/>
  <c r="D622" i="34"/>
  <c r="D642" i="34"/>
  <c r="D657" i="34"/>
  <c r="D662" i="34"/>
  <c r="D666" i="34"/>
  <c r="D677" i="34"/>
  <c r="D685" i="34"/>
  <c r="D689" i="34"/>
  <c r="D697" i="34"/>
  <c r="D719" i="34"/>
  <c r="D720" i="34"/>
  <c r="D723" i="34"/>
  <c r="D731" i="34"/>
  <c r="D736" i="34"/>
  <c r="D737" i="34"/>
  <c r="D739" i="34"/>
  <c r="D747" i="34"/>
  <c r="D761" i="34"/>
  <c r="D765" i="34"/>
  <c r="I23" i="34"/>
  <c r="M23" i="34"/>
  <c r="N23" i="34"/>
  <c r="O23" i="34"/>
  <c r="O30" i="34"/>
  <c r="O40" i="34"/>
  <c r="O52" i="34"/>
  <c r="O54" i="34"/>
  <c r="O67" i="34"/>
  <c r="O90" i="34"/>
  <c r="O97" i="34"/>
  <c r="O109" i="34"/>
  <c r="O113" i="34"/>
  <c r="O120" i="34"/>
  <c r="O122" i="34"/>
  <c r="O126" i="34"/>
  <c r="O128" i="34"/>
  <c r="O133" i="34"/>
  <c r="O136" i="34"/>
  <c r="O146" i="34"/>
  <c r="O151" i="34"/>
  <c r="O158" i="34"/>
  <c r="O166" i="34"/>
  <c r="O177" i="34"/>
  <c r="O208" i="34"/>
  <c r="O218" i="34"/>
  <c r="O220" i="34"/>
  <c r="O228" i="34"/>
  <c r="O252" i="34"/>
  <c r="O278" i="34"/>
  <c r="O279" i="34"/>
  <c r="O285" i="34"/>
  <c r="O295" i="34"/>
  <c r="O310" i="34"/>
  <c r="O321" i="34"/>
  <c r="O327" i="34"/>
  <c r="O332" i="34"/>
  <c r="O348" i="34"/>
  <c r="O363" i="34"/>
  <c r="O377" i="34"/>
  <c r="O385" i="34"/>
  <c r="O393" i="34"/>
  <c r="O395" i="34"/>
  <c r="O400" i="34"/>
  <c r="O415" i="34"/>
  <c r="O417" i="34"/>
  <c r="O428" i="34"/>
  <c r="O443" i="34"/>
  <c r="O455" i="34"/>
  <c r="O467" i="34"/>
  <c r="O482" i="34"/>
  <c r="O493" i="34"/>
  <c r="O496" i="34"/>
  <c r="O499" i="34"/>
  <c r="O507" i="34"/>
  <c r="O514" i="34"/>
  <c r="O523" i="34"/>
  <c r="O530" i="34"/>
  <c r="O550" i="34"/>
  <c r="O555" i="34"/>
  <c r="O562" i="34"/>
  <c r="O563" i="34"/>
  <c r="O584" i="34"/>
  <c r="O593" i="34"/>
  <c r="O610" i="34"/>
  <c r="O622" i="34"/>
  <c r="O642" i="34"/>
  <c r="O657" i="34"/>
  <c r="O662" i="34"/>
  <c r="O666" i="34"/>
  <c r="O677" i="34"/>
  <c r="O685" i="34"/>
  <c r="O689" i="34"/>
  <c r="O697" i="34"/>
  <c r="O719" i="34"/>
  <c r="O720" i="34"/>
  <c r="O723" i="34"/>
  <c r="O731" i="34"/>
  <c r="O736" i="34"/>
  <c r="O737" i="34"/>
  <c r="O739" i="34"/>
  <c r="O747" i="34"/>
  <c r="O761" i="34"/>
  <c r="O765" i="34"/>
  <c r="P23" i="34"/>
  <c r="P30" i="34"/>
  <c r="P40" i="34"/>
  <c r="P52" i="34"/>
  <c r="P54" i="34"/>
  <c r="P67" i="34"/>
  <c r="P90" i="34"/>
  <c r="P97" i="34"/>
  <c r="P109" i="34"/>
  <c r="P113" i="34"/>
  <c r="P120" i="34"/>
  <c r="P122" i="34"/>
  <c r="P126" i="34"/>
  <c r="P128" i="34"/>
  <c r="P133" i="34"/>
  <c r="P136" i="34"/>
  <c r="P146" i="34"/>
  <c r="P151" i="34"/>
  <c r="P158" i="34"/>
  <c r="P166" i="34"/>
  <c r="P177" i="34"/>
  <c r="P208" i="34"/>
  <c r="P218" i="34"/>
  <c r="P220" i="34"/>
  <c r="P228" i="34"/>
  <c r="P252" i="34"/>
  <c r="P278" i="34"/>
  <c r="P279" i="34"/>
  <c r="P285" i="34"/>
  <c r="P295" i="34"/>
  <c r="P310" i="34"/>
  <c r="P321" i="34"/>
  <c r="P327" i="34"/>
  <c r="P332" i="34"/>
  <c r="P348" i="34"/>
  <c r="P363" i="34"/>
  <c r="P377" i="34"/>
  <c r="P385" i="34"/>
  <c r="P393" i="34"/>
  <c r="P395" i="34"/>
  <c r="P400" i="34"/>
  <c r="P415" i="34"/>
  <c r="P417" i="34"/>
  <c r="P428" i="34"/>
  <c r="P443" i="34"/>
  <c r="P455" i="34"/>
  <c r="P467" i="34"/>
  <c r="P482" i="34"/>
  <c r="P493" i="34"/>
  <c r="P496" i="34"/>
  <c r="P499" i="34"/>
  <c r="P507" i="34"/>
  <c r="P514" i="34"/>
  <c r="P523" i="34"/>
  <c r="P530" i="34"/>
  <c r="P550" i="34"/>
  <c r="P555" i="34"/>
  <c r="P562" i="34"/>
  <c r="P563" i="34"/>
  <c r="P584" i="34"/>
  <c r="P593" i="34"/>
  <c r="P610" i="34"/>
  <c r="P622" i="34"/>
  <c r="P642" i="34"/>
  <c r="P657" i="34"/>
  <c r="P662" i="34"/>
  <c r="P666" i="34"/>
  <c r="P677" i="34"/>
  <c r="P685" i="34"/>
  <c r="P689" i="34"/>
  <c r="P697" i="34"/>
  <c r="P719" i="34"/>
  <c r="P720" i="34"/>
  <c r="P723" i="34"/>
  <c r="P731" i="34"/>
  <c r="P736" i="34"/>
  <c r="P737" i="34"/>
  <c r="P739" i="34"/>
  <c r="P747" i="34"/>
  <c r="P761" i="34"/>
  <c r="P765" i="34"/>
  <c r="Q23" i="34"/>
  <c r="Q30" i="34"/>
  <c r="Q40" i="34"/>
  <c r="Q52" i="34"/>
  <c r="Q54" i="34"/>
  <c r="Q67" i="34"/>
  <c r="Q90" i="34"/>
  <c r="Q97" i="34"/>
  <c r="Q109" i="34"/>
  <c r="Q113" i="34"/>
  <c r="Q120" i="34"/>
  <c r="Q122" i="34"/>
  <c r="Q126" i="34"/>
  <c r="Q128" i="34"/>
  <c r="Q133" i="34"/>
  <c r="Q136" i="34"/>
  <c r="Q146" i="34"/>
  <c r="Q151" i="34"/>
  <c r="Q158" i="34"/>
  <c r="Q166" i="34"/>
  <c r="Q177" i="34"/>
  <c r="Q208" i="34"/>
  <c r="Q218" i="34"/>
  <c r="Q220" i="34"/>
  <c r="Q228" i="34"/>
  <c r="Q252" i="34"/>
  <c r="Q278" i="34"/>
  <c r="Q279" i="34"/>
  <c r="Q285" i="34"/>
  <c r="Q295" i="34"/>
  <c r="Q310" i="34"/>
  <c r="Q321" i="34"/>
  <c r="Q327" i="34"/>
  <c r="Q332" i="34"/>
  <c r="Q348" i="34"/>
  <c r="Q363" i="34"/>
  <c r="Q377" i="34"/>
  <c r="Q385" i="34"/>
  <c r="Q393" i="34"/>
  <c r="Q395" i="34"/>
  <c r="Q400" i="34"/>
  <c r="Q415" i="34"/>
  <c r="Q417" i="34"/>
  <c r="Q428" i="34"/>
  <c r="Q443" i="34"/>
  <c r="Q455" i="34"/>
  <c r="Q467" i="34"/>
  <c r="Q482" i="34"/>
  <c r="Q493" i="34"/>
  <c r="Q496" i="34"/>
  <c r="Q499" i="34"/>
  <c r="Q507" i="34"/>
  <c r="Q514" i="34"/>
  <c r="Q523" i="34"/>
  <c r="Q530" i="34"/>
  <c r="Q550" i="34"/>
  <c r="Q555" i="34"/>
  <c r="Q562" i="34"/>
  <c r="Q563" i="34"/>
  <c r="Q584" i="34"/>
  <c r="Q593" i="34"/>
  <c r="Q610" i="34"/>
  <c r="Q622" i="34"/>
  <c r="Q642" i="34"/>
  <c r="Q657" i="34"/>
  <c r="Q662" i="34"/>
  <c r="Q666" i="34"/>
  <c r="Q677" i="34"/>
  <c r="Q685" i="34"/>
  <c r="Q689" i="34"/>
  <c r="Q697" i="34"/>
  <c r="Q719" i="34"/>
  <c r="Q720" i="34"/>
  <c r="Q723" i="34"/>
  <c r="Q731" i="34"/>
  <c r="Q736" i="34"/>
  <c r="Q737" i="34"/>
  <c r="Q739" i="34"/>
  <c r="Q747" i="34"/>
  <c r="Q761" i="34"/>
  <c r="Q765" i="34"/>
  <c r="R23" i="34"/>
  <c r="S23" i="34"/>
  <c r="T23" i="34"/>
  <c r="U23" i="34"/>
  <c r="U30" i="34"/>
  <c r="U40" i="34"/>
  <c r="U52" i="34"/>
  <c r="U54" i="34"/>
  <c r="U67" i="34"/>
  <c r="U90" i="34"/>
  <c r="U97" i="34"/>
  <c r="U109" i="34"/>
  <c r="U113" i="34"/>
  <c r="U120" i="34"/>
  <c r="U122" i="34"/>
  <c r="U126" i="34"/>
  <c r="U128" i="34"/>
  <c r="U133" i="34"/>
  <c r="U136" i="34"/>
  <c r="U146" i="34"/>
  <c r="U151" i="34"/>
  <c r="U158" i="34"/>
  <c r="U166" i="34"/>
  <c r="U177" i="34"/>
  <c r="U208" i="34"/>
  <c r="U218" i="34"/>
  <c r="U220" i="34"/>
  <c r="U228" i="34"/>
  <c r="U252" i="34"/>
  <c r="U278" i="34"/>
  <c r="U279" i="34"/>
  <c r="U285" i="34"/>
  <c r="U295" i="34"/>
  <c r="U310" i="34"/>
  <c r="U321" i="34"/>
  <c r="U327" i="34"/>
  <c r="U332" i="34"/>
  <c r="U348" i="34"/>
  <c r="U363" i="34"/>
  <c r="U377" i="34"/>
  <c r="U385" i="34"/>
  <c r="U393" i="34"/>
  <c r="U395" i="34"/>
  <c r="U400" i="34"/>
  <c r="U415" i="34"/>
  <c r="U417" i="34"/>
  <c r="U428" i="34"/>
  <c r="U443" i="34"/>
  <c r="U455" i="34"/>
  <c r="U467" i="34"/>
  <c r="U482" i="34"/>
  <c r="U493" i="34"/>
  <c r="U496" i="34"/>
  <c r="U499" i="34"/>
  <c r="U507" i="34"/>
  <c r="U514" i="34"/>
  <c r="U523" i="34"/>
  <c r="U530" i="34"/>
  <c r="U550" i="34"/>
  <c r="U555" i="34"/>
  <c r="U562" i="34"/>
  <c r="U563" i="34"/>
  <c r="U584" i="34"/>
  <c r="U593" i="34"/>
  <c r="U610" i="34"/>
  <c r="U622" i="34"/>
  <c r="U642" i="34"/>
  <c r="U657" i="34"/>
  <c r="U662" i="34"/>
  <c r="U666" i="34"/>
  <c r="U677" i="34"/>
  <c r="U685" i="34"/>
  <c r="U689" i="34"/>
  <c r="U697" i="34"/>
  <c r="U719" i="34"/>
  <c r="U720" i="34"/>
  <c r="U723" i="34"/>
  <c r="U731" i="34"/>
  <c r="U736" i="34"/>
  <c r="U737" i="34"/>
  <c r="U739" i="34"/>
  <c r="U747" i="34"/>
  <c r="U761" i="34"/>
  <c r="U765" i="34"/>
  <c r="V23" i="34"/>
  <c r="V30" i="34"/>
  <c r="V40" i="34"/>
  <c r="V52" i="34"/>
  <c r="V54" i="34"/>
  <c r="V67" i="34"/>
  <c r="V90" i="34"/>
  <c r="V97" i="34"/>
  <c r="V109" i="34"/>
  <c r="V113" i="34"/>
  <c r="V120" i="34"/>
  <c r="V122" i="34"/>
  <c r="V126" i="34"/>
  <c r="V128" i="34"/>
  <c r="V133" i="34"/>
  <c r="V136" i="34"/>
  <c r="V146" i="34"/>
  <c r="V151" i="34"/>
  <c r="V158" i="34"/>
  <c r="V166" i="34"/>
  <c r="V177" i="34"/>
  <c r="V208" i="34"/>
  <c r="V218" i="34"/>
  <c r="V220" i="34"/>
  <c r="V228" i="34"/>
  <c r="V252" i="34"/>
  <c r="V278" i="34"/>
  <c r="V279" i="34"/>
  <c r="V285" i="34"/>
  <c r="V295" i="34"/>
  <c r="V310" i="34"/>
  <c r="V321" i="34"/>
  <c r="V327" i="34"/>
  <c r="V332" i="34"/>
  <c r="V348" i="34"/>
  <c r="V363" i="34"/>
  <c r="V377" i="34"/>
  <c r="V385" i="34"/>
  <c r="V393" i="34"/>
  <c r="V395" i="34"/>
  <c r="V400" i="34"/>
  <c r="V415" i="34"/>
  <c r="V417" i="34"/>
  <c r="V428" i="34"/>
  <c r="V443" i="34"/>
  <c r="V455" i="34"/>
  <c r="V467" i="34"/>
  <c r="V482" i="34"/>
  <c r="V493" i="34"/>
  <c r="V496" i="34"/>
  <c r="V499" i="34"/>
  <c r="V507" i="34"/>
  <c r="V514" i="34"/>
  <c r="V523" i="34"/>
  <c r="V530" i="34"/>
  <c r="V550" i="34"/>
  <c r="V555" i="34"/>
  <c r="V562" i="34"/>
  <c r="V563" i="34"/>
  <c r="V584" i="34"/>
  <c r="V593" i="34"/>
  <c r="V610" i="34"/>
  <c r="V622" i="34"/>
  <c r="V642" i="34"/>
  <c r="V657" i="34"/>
  <c r="V662" i="34"/>
  <c r="V666" i="34"/>
  <c r="V677" i="34"/>
  <c r="V685" i="34"/>
  <c r="V689" i="34"/>
  <c r="V697" i="34"/>
  <c r="V719" i="34"/>
  <c r="V720" i="34"/>
  <c r="V723" i="34"/>
  <c r="V731" i="34"/>
  <c r="V736" i="34"/>
  <c r="V737" i="34"/>
  <c r="V739" i="34"/>
  <c r="V747" i="34"/>
  <c r="V761" i="34"/>
  <c r="V765" i="34"/>
  <c r="W23" i="34"/>
  <c r="W30" i="34"/>
  <c r="W40" i="34"/>
  <c r="W52" i="34"/>
  <c r="W54" i="34"/>
  <c r="W67" i="34"/>
  <c r="W90" i="34"/>
  <c r="W97" i="34"/>
  <c r="W109" i="34"/>
  <c r="W113" i="34"/>
  <c r="W120" i="34"/>
  <c r="W122" i="34"/>
  <c r="W126" i="34"/>
  <c r="W128" i="34"/>
  <c r="W133" i="34"/>
  <c r="W136" i="34"/>
  <c r="W146" i="34"/>
  <c r="W151" i="34"/>
  <c r="W158" i="34"/>
  <c r="W166" i="34"/>
  <c r="W177" i="34"/>
  <c r="W208" i="34"/>
  <c r="W218" i="34"/>
  <c r="W220" i="34"/>
  <c r="W228" i="34"/>
  <c r="W252" i="34"/>
  <c r="W278" i="34"/>
  <c r="W279" i="34"/>
  <c r="W285" i="34"/>
  <c r="W295" i="34"/>
  <c r="W310" i="34"/>
  <c r="W321" i="34"/>
  <c r="W327" i="34"/>
  <c r="W332" i="34"/>
  <c r="W348" i="34"/>
  <c r="W363" i="34"/>
  <c r="W377" i="34"/>
  <c r="W385" i="34"/>
  <c r="W393" i="34"/>
  <c r="W395" i="34"/>
  <c r="W400" i="34"/>
  <c r="W415" i="34"/>
  <c r="W417" i="34"/>
  <c r="W428" i="34"/>
  <c r="W443" i="34"/>
  <c r="W455" i="34"/>
  <c r="W467" i="34"/>
  <c r="W482" i="34"/>
  <c r="W493" i="34"/>
  <c r="W496" i="34"/>
  <c r="W499" i="34"/>
  <c r="W507" i="34"/>
  <c r="W514" i="34"/>
  <c r="W523" i="34"/>
  <c r="W530" i="34"/>
  <c r="W550" i="34"/>
  <c r="W555" i="34"/>
  <c r="W562" i="34"/>
  <c r="W563" i="34"/>
  <c r="W584" i="34"/>
  <c r="W593" i="34"/>
  <c r="W610" i="34"/>
  <c r="W622" i="34"/>
  <c r="W642" i="34"/>
  <c r="W657" i="34"/>
  <c r="W662" i="34"/>
  <c r="W666" i="34"/>
  <c r="W677" i="34"/>
  <c r="W685" i="34"/>
  <c r="W689" i="34"/>
  <c r="W697" i="34"/>
  <c r="W719" i="34"/>
  <c r="W720" i="34"/>
  <c r="W723" i="34"/>
  <c r="W731" i="34"/>
  <c r="W736" i="34"/>
  <c r="W737" i="34"/>
  <c r="W739" i="34"/>
  <c r="W747" i="34"/>
  <c r="W761" i="34"/>
  <c r="W765" i="34"/>
  <c r="X23" i="34"/>
  <c r="X30" i="34"/>
  <c r="X40" i="34"/>
  <c r="X52" i="34"/>
  <c r="X54" i="34"/>
  <c r="X67" i="34"/>
  <c r="X90" i="34"/>
  <c r="X97" i="34"/>
  <c r="X109" i="34"/>
  <c r="X113" i="34"/>
  <c r="X120" i="34"/>
  <c r="X122" i="34"/>
  <c r="X126" i="34"/>
  <c r="X128" i="34"/>
  <c r="X133" i="34"/>
  <c r="X136" i="34"/>
  <c r="X146" i="34"/>
  <c r="X151" i="34"/>
  <c r="X158" i="34"/>
  <c r="X166" i="34"/>
  <c r="X177" i="34"/>
  <c r="X208" i="34"/>
  <c r="X218" i="34"/>
  <c r="X220" i="34"/>
  <c r="X228" i="34"/>
  <c r="X252" i="34"/>
  <c r="X278" i="34"/>
  <c r="X279" i="34"/>
  <c r="X285" i="34"/>
  <c r="X295" i="34"/>
  <c r="X310" i="34"/>
  <c r="X321" i="34"/>
  <c r="X327" i="34"/>
  <c r="X332" i="34"/>
  <c r="X348" i="34"/>
  <c r="X363" i="34"/>
  <c r="X377" i="34"/>
  <c r="X385" i="34"/>
  <c r="X393" i="34"/>
  <c r="X395" i="34"/>
  <c r="X400" i="34"/>
  <c r="X415" i="34"/>
  <c r="X417" i="34"/>
  <c r="X428" i="34"/>
  <c r="X443" i="34"/>
  <c r="X455" i="34"/>
  <c r="X467" i="34"/>
  <c r="X482" i="34"/>
  <c r="X493" i="34"/>
  <c r="X496" i="34"/>
  <c r="X499" i="34"/>
  <c r="X507" i="34"/>
  <c r="X514" i="34"/>
  <c r="X523" i="34"/>
  <c r="X530" i="34"/>
  <c r="X550" i="34"/>
  <c r="X555" i="34"/>
  <c r="X562" i="34"/>
  <c r="X563" i="34"/>
  <c r="X584" i="34"/>
  <c r="X593" i="34"/>
  <c r="X610" i="34"/>
  <c r="X622" i="34"/>
  <c r="X642" i="34"/>
  <c r="X657" i="34"/>
  <c r="X662" i="34"/>
  <c r="X666" i="34"/>
  <c r="X677" i="34"/>
  <c r="X685" i="34"/>
  <c r="X689" i="34"/>
  <c r="X697" i="34"/>
  <c r="X719" i="34"/>
  <c r="X720" i="34"/>
  <c r="X723" i="34"/>
  <c r="X731" i="34"/>
  <c r="X736" i="34"/>
  <c r="X737" i="34"/>
  <c r="X739" i="34"/>
  <c r="X747" i="34"/>
  <c r="X761" i="34"/>
  <c r="X765" i="34"/>
  <c r="Y23" i="34"/>
  <c r="Y30" i="34"/>
  <c r="Y40" i="34"/>
  <c r="Y52" i="34"/>
  <c r="Y54" i="34"/>
  <c r="Y67" i="34"/>
  <c r="Y90" i="34"/>
  <c r="Y97" i="34"/>
  <c r="Y109" i="34"/>
  <c r="Y113" i="34"/>
  <c r="Y120" i="34"/>
  <c r="Y122" i="34"/>
  <c r="Y126" i="34"/>
  <c r="Y128" i="34"/>
  <c r="Y133" i="34"/>
  <c r="Y136" i="34"/>
  <c r="Y146" i="34"/>
  <c r="Y151" i="34"/>
  <c r="Y158" i="34"/>
  <c r="Y166" i="34"/>
  <c r="Y177" i="34"/>
  <c r="Y208" i="34"/>
  <c r="Y218" i="34"/>
  <c r="Y220" i="34"/>
  <c r="Y228" i="34"/>
  <c r="Y252" i="34"/>
  <c r="Y278" i="34"/>
  <c r="Y279" i="34"/>
  <c r="Y285" i="34"/>
  <c r="Y295" i="34"/>
  <c r="Y310" i="34"/>
  <c r="Y321" i="34"/>
  <c r="Y327" i="34"/>
  <c r="Y332" i="34"/>
  <c r="Y348" i="34"/>
  <c r="Y363" i="34"/>
  <c r="Y377" i="34"/>
  <c r="Y385" i="34"/>
  <c r="Y393" i="34"/>
  <c r="Y395" i="34"/>
  <c r="Y400" i="34"/>
  <c r="Y415" i="34"/>
  <c r="Y417" i="34"/>
  <c r="Y428" i="34"/>
  <c r="Y443" i="34"/>
  <c r="Y455" i="34"/>
  <c r="Y467" i="34"/>
  <c r="Y482" i="34"/>
  <c r="Y493" i="34"/>
  <c r="Y496" i="34"/>
  <c r="Y499" i="34"/>
  <c r="Y507" i="34"/>
  <c r="Y514" i="34"/>
  <c r="Y523" i="34"/>
  <c r="Y530" i="34"/>
  <c r="Y550" i="34"/>
  <c r="Y555" i="34"/>
  <c r="Y562" i="34"/>
  <c r="Y563" i="34"/>
  <c r="Y584" i="34"/>
  <c r="Y593" i="34"/>
  <c r="Y610" i="34"/>
  <c r="Y622" i="34"/>
  <c r="Y642" i="34"/>
  <c r="Y657" i="34"/>
  <c r="Y662" i="34"/>
  <c r="Y666" i="34"/>
  <c r="Y677" i="34"/>
  <c r="Y685" i="34"/>
  <c r="Y689" i="34"/>
  <c r="Y697" i="34"/>
  <c r="Y719" i="34"/>
  <c r="Y720" i="34"/>
  <c r="Y723" i="34"/>
  <c r="Y731" i="34"/>
  <c r="Y736" i="34"/>
  <c r="Y737" i="34"/>
  <c r="Y739" i="34"/>
  <c r="Y747" i="34"/>
  <c r="Y761" i="34"/>
  <c r="Y765" i="34"/>
  <c r="Z23" i="34"/>
  <c r="Z30" i="34"/>
  <c r="Z40" i="34"/>
  <c r="Z52" i="34"/>
  <c r="Z54" i="34"/>
  <c r="Z67" i="34"/>
  <c r="Z90" i="34"/>
  <c r="Z97" i="34"/>
  <c r="Z109" i="34"/>
  <c r="Z113" i="34"/>
  <c r="Z120" i="34"/>
  <c r="Z122" i="34"/>
  <c r="Z126" i="34"/>
  <c r="Z128" i="34"/>
  <c r="Z133" i="34"/>
  <c r="Z136" i="34"/>
  <c r="Z146" i="34"/>
  <c r="Z151" i="34"/>
  <c r="Z158" i="34"/>
  <c r="Z166" i="34"/>
  <c r="Z177" i="34"/>
  <c r="Z208" i="34"/>
  <c r="Z218" i="34"/>
  <c r="Z220" i="34"/>
  <c r="Z228" i="34"/>
  <c r="Z252" i="34"/>
  <c r="Z278" i="34"/>
  <c r="Z279" i="34"/>
  <c r="Z285" i="34"/>
  <c r="Z295" i="34"/>
  <c r="Z310" i="34"/>
  <c r="Z321" i="34"/>
  <c r="Z327" i="34"/>
  <c r="Z332" i="34"/>
  <c r="Z348" i="34"/>
  <c r="Z363" i="34"/>
  <c r="Z377" i="34"/>
  <c r="Z385" i="34"/>
  <c r="Z393" i="34"/>
  <c r="Z395" i="34"/>
  <c r="Z400" i="34"/>
  <c r="Z415" i="34"/>
  <c r="Z417" i="34"/>
  <c r="Z428" i="34"/>
  <c r="Z443" i="34"/>
  <c r="Z455" i="34"/>
  <c r="Z467" i="34"/>
  <c r="Z482" i="34"/>
  <c r="Z493" i="34"/>
  <c r="Z496" i="34"/>
  <c r="Z499" i="34"/>
  <c r="Z507" i="34"/>
  <c r="Z514" i="34"/>
  <c r="Z523" i="34"/>
  <c r="Z530" i="34"/>
  <c r="Z550" i="34"/>
  <c r="Z555" i="34"/>
  <c r="Z562" i="34"/>
  <c r="Z563" i="34"/>
  <c r="Z584" i="34"/>
  <c r="Z593" i="34"/>
  <c r="Z610" i="34"/>
  <c r="Z622" i="34"/>
  <c r="Z642" i="34"/>
  <c r="Z657" i="34"/>
  <c r="Z662" i="34"/>
  <c r="Z666" i="34"/>
  <c r="Z677" i="34"/>
  <c r="Z685" i="34"/>
  <c r="Z689" i="34"/>
  <c r="Z697" i="34"/>
  <c r="Z719" i="34"/>
  <c r="Z720" i="34"/>
  <c r="Z723" i="34"/>
  <c r="Z731" i="34"/>
  <c r="Z736" i="34"/>
  <c r="Z737" i="34"/>
  <c r="Z739" i="34"/>
  <c r="Z747" i="34"/>
  <c r="Z761" i="34"/>
  <c r="Z765" i="34"/>
  <c r="AA23" i="34"/>
  <c r="AA30" i="34"/>
  <c r="AA40" i="34"/>
  <c r="AA52" i="34"/>
  <c r="AA54" i="34"/>
  <c r="AA67" i="34"/>
  <c r="AA90" i="34"/>
  <c r="AA97" i="34"/>
  <c r="AA109" i="34"/>
  <c r="AA113" i="34"/>
  <c r="AA120" i="34"/>
  <c r="AA122" i="34"/>
  <c r="AA126" i="34"/>
  <c r="AA128" i="34"/>
  <c r="AA133" i="34"/>
  <c r="AA136" i="34"/>
  <c r="AA146" i="34"/>
  <c r="AA151" i="34"/>
  <c r="AA158" i="34"/>
  <c r="AA166" i="34"/>
  <c r="AA177" i="34"/>
  <c r="AA208" i="34"/>
  <c r="AA218" i="34"/>
  <c r="AA220" i="34"/>
  <c r="AA228" i="34"/>
  <c r="AA252" i="34"/>
  <c r="AA278" i="34"/>
  <c r="AA279" i="34"/>
  <c r="AA285" i="34"/>
  <c r="AA295" i="34"/>
  <c r="AA310" i="34"/>
  <c r="AA321" i="34"/>
  <c r="AA327" i="34"/>
  <c r="AA332" i="34"/>
  <c r="AA348" i="34"/>
  <c r="AA363" i="34"/>
  <c r="AA377" i="34"/>
  <c r="AA385" i="34"/>
  <c r="AA393" i="34"/>
  <c r="AA395" i="34"/>
  <c r="AA400" i="34"/>
  <c r="AA415" i="34"/>
  <c r="AA417" i="34"/>
  <c r="AA428" i="34"/>
  <c r="AA443" i="34"/>
  <c r="AA455" i="34"/>
  <c r="AA467" i="34"/>
  <c r="AA482" i="34"/>
  <c r="AA493" i="34"/>
  <c r="AA496" i="34"/>
  <c r="AA499" i="34"/>
  <c r="AA507" i="34"/>
  <c r="AA514" i="34"/>
  <c r="AA523" i="34"/>
  <c r="AA530" i="34"/>
  <c r="AA550" i="34"/>
  <c r="AA555" i="34"/>
  <c r="AA562" i="34"/>
  <c r="AA563" i="34"/>
  <c r="AA584" i="34"/>
  <c r="AA593" i="34"/>
  <c r="AA610" i="34"/>
  <c r="AA622" i="34"/>
  <c r="AA642" i="34"/>
  <c r="AA657" i="34"/>
  <c r="AA662" i="34"/>
  <c r="AA666" i="34"/>
  <c r="AA677" i="34"/>
  <c r="AA685" i="34"/>
  <c r="AA689" i="34"/>
  <c r="AA697" i="34"/>
  <c r="AA719" i="34"/>
  <c r="AA720" i="34"/>
  <c r="AA723" i="34"/>
  <c r="AA731" i="34"/>
  <c r="AA736" i="34"/>
  <c r="AA737" i="34"/>
  <c r="AA739" i="34"/>
  <c r="AA747" i="34"/>
  <c r="AA761" i="34"/>
  <c r="AA765" i="34"/>
  <c r="AB23" i="34"/>
  <c r="AB30" i="34"/>
  <c r="AB40" i="34"/>
  <c r="AB52" i="34"/>
  <c r="AB54" i="34"/>
  <c r="AB67" i="34"/>
  <c r="AB90" i="34"/>
  <c r="AB97" i="34"/>
  <c r="AB109" i="34"/>
  <c r="AB113" i="34"/>
  <c r="AB120" i="34"/>
  <c r="AB122" i="34"/>
  <c r="AB126" i="34"/>
  <c r="AB128" i="34"/>
  <c r="AB133" i="34"/>
  <c r="AB136" i="34"/>
  <c r="AB146" i="34"/>
  <c r="AB151" i="34"/>
  <c r="AB158" i="34"/>
  <c r="AB166" i="34"/>
  <c r="AB177" i="34"/>
  <c r="AB208" i="34"/>
  <c r="AB218" i="34"/>
  <c r="AB220" i="34"/>
  <c r="AB228" i="34"/>
  <c r="AB252" i="34"/>
  <c r="AB278" i="34"/>
  <c r="AB279" i="34"/>
  <c r="AB285" i="34"/>
  <c r="AB295" i="34"/>
  <c r="AB310" i="34"/>
  <c r="AB321" i="34"/>
  <c r="AB327" i="34"/>
  <c r="AB332" i="34"/>
  <c r="AB348" i="34"/>
  <c r="AB363" i="34"/>
  <c r="AB377" i="34"/>
  <c r="AB385" i="34"/>
  <c r="AB393" i="34"/>
  <c r="AB395" i="34"/>
  <c r="AB400" i="34"/>
  <c r="AB415" i="34"/>
  <c r="AB417" i="34"/>
  <c r="AB428" i="34"/>
  <c r="AB443" i="34"/>
  <c r="AB455" i="34"/>
  <c r="AB467" i="34"/>
  <c r="AB482" i="34"/>
  <c r="AB493" i="34"/>
  <c r="AB496" i="34"/>
  <c r="AB499" i="34"/>
  <c r="AB507" i="34"/>
  <c r="AB514" i="34"/>
  <c r="AB523" i="34"/>
  <c r="AB530" i="34"/>
  <c r="AB550" i="34"/>
  <c r="AB555" i="34"/>
  <c r="AB562" i="34"/>
  <c r="AB563" i="34"/>
  <c r="AB584" i="34"/>
  <c r="AB593" i="34"/>
  <c r="AB610" i="34"/>
  <c r="AB622" i="34"/>
  <c r="AB642" i="34"/>
  <c r="AB657" i="34"/>
  <c r="AB662" i="34"/>
  <c r="AB666" i="34"/>
  <c r="AB677" i="34"/>
  <c r="AB685" i="34"/>
  <c r="AB689" i="34"/>
  <c r="AB697" i="34"/>
  <c r="AB719" i="34"/>
  <c r="AB720" i="34"/>
  <c r="AB723" i="34"/>
  <c r="AB731" i="34"/>
  <c r="AB736" i="34"/>
  <c r="AB737" i="34"/>
  <c r="AB739" i="34"/>
  <c r="AB747" i="34"/>
  <c r="AB761" i="34"/>
  <c r="AB765" i="34"/>
  <c r="AC23" i="34"/>
  <c r="AC30" i="34"/>
  <c r="AC40" i="34"/>
  <c r="AC52" i="34"/>
  <c r="AC54" i="34"/>
  <c r="AC67" i="34"/>
  <c r="AC90" i="34"/>
  <c r="AC97" i="34"/>
  <c r="AC109" i="34"/>
  <c r="AC113" i="34"/>
  <c r="AC120" i="34"/>
  <c r="AC122" i="34"/>
  <c r="AC126" i="34"/>
  <c r="AC128" i="34"/>
  <c r="AC133" i="34"/>
  <c r="AC136" i="34"/>
  <c r="AC146" i="34"/>
  <c r="AC151" i="34"/>
  <c r="AC158" i="34"/>
  <c r="AC166" i="34"/>
  <c r="AC177" i="34"/>
  <c r="AC208" i="34"/>
  <c r="AC218" i="34"/>
  <c r="AC220" i="34"/>
  <c r="AC228" i="34"/>
  <c r="AC252" i="34"/>
  <c r="AC278" i="34"/>
  <c r="AC279" i="34"/>
  <c r="AC285" i="34"/>
  <c r="AC295" i="34"/>
  <c r="AC310" i="34"/>
  <c r="AC321" i="34"/>
  <c r="AC327" i="34"/>
  <c r="AC332" i="34"/>
  <c r="AC348" i="34"/>
  <c r="AC363" i="34"/>
  <c r="AC377" i="34"/>
  <c r="AC385" i="34"/>
  <c r="AC393" i="34"/>
  <c r="AC395" i="34"/>
  <c r="AC400" i="34"/>
  <c r="AC415" i="34"/>
  <c r="AC417" i="34"/>
  <c r="AC428" i="34"/>
  <c r="AC443" i="34"/>
  <c r="AC455" i="34"/>
  <c r="AC467" i="34"/>
  <c r="AC482" i="34"/>
  <c r="AC493" i="34"/>
  <c r="AC496" i="34"/>
  <c r="AC499" i="34"/>
  <c r="AC507" i="34"/>
  <c r="AC514" i="34"/>
  <c r="AC523" i="34"/>
  <c r="AC530" i="34"/>
  <c r="AC550" i="34"/>
  <c r="AC555" i="34"/>
  <c r="AC562" i="34"/>
  <c r="AC563" i="34"/>
  <c r="AC584" i="34"/>
  <c r="AC593" i="34"/>
  <c r="AC610" i="34"/>
  <c r="AC622" i="34"/>
  <c r="AC642" i="34"/>
  <c r="AC657" i="34"/>
  <c r="AC662" i="34"/>
  <c r="AC666" i="34"/>
  <c r="AC677" i="34"/>
  <c r="AC685" i="34"/>
  <c r="AC689" i="34"/>
  <c r="AC697" i="34"/>
  <c r="AC719" i="34"/>
  <c r="AC720" i="34"/>
  <c r="AC723" i="34"/>
  <c r="AC731" i="34"/>
  <c r="AC736" i="34"/>
  <c r="AC737" i="34"/>
  <c r="AC739" i="34"/>
  <c r="AC747" i="34"/>
  <c r="AC761" i="34"/>
  <c r="AC765" i="34"/>
  <c r="AD23" i="34"/>
  <c r="AD30" i="34"/>
  <c r="AD40" i="34"/>
  <c r="AD52" i="34"/>
  <c r="AD54" i="34"/>
  <c r="AD67" i="34"/>
  <c r="AD90" i="34"/>
  <c r="AD97" i="34"/>
  <c r="AD109" i="34"/>
  <c r="AD113" i="34"/>
  <c r="AD120" i="34"/>
  <c r="AD122" i="34"/>
  <c r="AD126" i="34"/>
  <c r="AD128" i="34"/>
  <c r="AD133" i="34"/>
  <c r="AD136" i="34"/>
  <c r="AD146" i="34"/>
  <c r="AD151" i="34"/>
  <c r="AD158" i="34"/>
  <c r="AD166" i="34"/>
  <c r="AD177" i="34"/>
  <c r="AD208" i="34"/>
  <c r="AD218" i="34"/>
  <c r="AD220" i="34"/>
  <c r="AD228" i="34"/>
  <c r="AD252" i="34"/>
  <c r="AD278" i="34"/>
  <c r="AD279" i="34"/>
  <c r="AD285" i="34"/>
  <c r="AD295" i="34"/>
  <c r="AD310" i="34"/>
  <c r="AD321" i="34"/>
  <c r="AD327" i="34"/>
  <c r="AD332" i="34"/>
  <c r="AD348" i="34"/>
  <c r="AD363" i="34"/>
  <c r="AD377" i="34"/>
  <c r="AD385" i="34"/>
  <c r="AD393" i="34"/>
  <c r="AD395" i="34"/>
  <c r="AD400" i="34"/>
  <c r="AD415" i="34"/>
  <c r="AD417" i="34"/>
  <c r="AD428" i="34"/>
  <c r="AD443" i="34"/>
  <c r="AD455" i="34"/>
  <c r="AD467" i="34"/>
  <c r="AD482" i="34"/>
  <c r="AD493" i="34"/>
  <c r="AD496" i="34"/>
  <c r="AD499" i="34"/>
  <c r="AD507" i="34"/>
  <c r="AD514" i="34"/>
  <c r="AD523" i="34"/>
  <c r="AD530" i="34"/>
  <c r="AD550" i="34"/>
  <c r="AD555" i="34"/>
  <c r="AD562" i="34"/>
  <c r="AD563" i="34"/>
  <c r="AD584" i="34"/>
  <c r="AD593" i="34"/>
  <c r="AD610" i="34"/>
  <c r="AD622" i="34"/>
  <c r="AD642" i="34"/>
  <c r="AD657" i="34"/>
  <c r="AD662" i="34"/>
  <c r="AD666" i="34"/>
  <c r="AD677" i="34"/>
  <c r="AD685" i="34"/>
  <c r="AD689" i="34"/>
  <c r="AD697" i="34"/>
  <c r="AD719" i="34"/>
  <c r="AD720" i="34"/>
  <c r="AD723" i="34"/>
  <c r="AD731" i="34"/>
  <c r="AD736" i="34"/>
  <c r="AD737" i="34"/>
  <c r="AD739" i="34"/>
  <c r="AD747" i="34"/>
  <c r="AD761" i="34"/>
  <c r="AD765" i="34"/>
  <c r="AE23" i="34"/>
  <c r="AE30" i="34"/>
  <c r="AE40" i="34"/>
  <c r="AE52" i="34"/>
  <c r="AE54" i="34"/>
  <c r="AE67" i="34"/>
  <c r="AE90" i="34"/>
  <c r="AE97" i="34"/>
  <c r="AE109" i="34"/>
  <c r="AE113" i="34"/>
  <c r="AE120" i="34"/>
  <c r="AE122" i="34"/>
  <c r="AE126" i="34"/>
  <c r="AE128" i="34"/>
  <c r="AE133" i="34"/>
  <c r="AE136" i="34"/>
  <c r="AE146" i="34"/>
  <c r="AE151" i="34"/>
  <c r="AE158" i="34"/>
  <c r="AE166" i="34"/>
  <c r="AE177" i="34"/>
  <c r="AE208" i="34"/>
  <c r="AE218" i="34"/>
  <c r="AE220" i="34"/>
  <c r="AE228" i="34"/>
  <c r="AE252" i="34"/>
  <c r="AE278" i="34"/>
  <c r="AE279" i="34"/>
  <c r="AE285" i="34"/>
  <c r="AE295" i="34"/>
  <c r="AE310" i="34"/>
  <c r="AE321" i="34"/>
  <c r="AE327" i="34"/>
  <c r="AE332" i="34"/>
  <c r="AE348" i="34"/>
  <c r="AE363" i="34"/>
  <c r="AE377" i="34"/>
  <c r="AE385" i="34"/>
  <c r="AE393" i="34"/>
  <c r="AE395" i="34"/>
  <c r="AE400" i="34"/>
  <c r="AE415" i="34"/>
  <c r="AE417" i="34"/>
  <c r="AE428" i="34"/>
  <c r="AE443" i="34"/>
  <c r="AE455" i="34"/>
  <c r="AE467" i="34"/>
  <c r="AE482" i="34"/>
  <c r="AE493" i="34"/>
  <c r="AE496" i="34"/>
  <c r="AE499" i="34"/>
  <c r="AE507" i="34"/>
  <c r="AE514" i="34"/>
  <c r="AE523" i="34"/>
  <c r="AE530" i="34"/>
  <c r="AE550" i="34"/>
  <c r="AE555" i="34"/>
  <c r="AE562" i="34"/>
  <c r="AE563" i="34"/>
  <c r="AE584" i="34"/>
  <c r="AE593" i="34"/>
  <c r="AE610" i="34"/>
  <c r="AE622" i="34"/>
  <c r="AE642" i="34"/>
  <c r="AE657" i="34"/>
  <c r="AE662" i="34"/>
  <c r="AE666" i="34"/>
  <c r="AE677" i="34"/>
  <c r="AE685" i="34"/>
  <c r="AE689" i="34"/>
  <c r="AE697" i="34"/>
  <c r="AE719" i="34"/>
  <c r="AE720" i="34"/>
  <c r="AE723" i="34"/>
  <c r="AE731" i="34"/>
  <c r="AE736" i="34"/>
  <c r="AE737" i="34"/>
  <c r="AE739" i="34"/>
  <c r="AE747" i="34"/>
  <c r="AE761" i="34"/>
  <c r="AE765" i="34"/>
  <c r="AF23" i="34"/>
  <c r="AF30" i="34"/>
  <c r="AF40" i="34"/>
  <c r="AF52" i="34"/>
  <c r="AF54" i="34"/>
  <c r="AF67" i="34"/>
  <c r="AF90" i="34"/>
  <c r="AF97" i="34"/>
  <c r="AF109" i="34"/>
  <c r="AF113" i="34"/>
  <c r="AF120" i="34"/>
  <c r="AF122" i="34"/>
  <c r="AF126" i="34"/>
  <c r="AF128" i="34"/>
  <c r="AF133" i="34"/>
  <c r="AF136" i="34"/>
  <c r="AF146" i="34"/>
  <c r="AF151" i="34"/>
  <c r="AF158" i="34"/>
  <c r="AF166" i="34"/>
  <c r="AF177" i="34"/>
  <c r="AF208" i="34"/>
  <c r="AF218" i="34"/>
  <c r="AF220" i="34"/>
  <c r="AF228" i="34"/>
  <c r="AF252" i="34"/>
  <c r="AF278" i="34"/>
  <c r="AF279" i="34"/>
  <c r="AF285" i="34"/>
  <c r="AF295" i="34"/>
  <c r="AF310" i="34"/>
  <c r="AF321" i="34"/>
  <c r="AF327" i="34"/>
  <c r="AF332" i="34"/>
  <c r="AF348" i="34"/>
  <c r="AF363" i="34"/>
  <c r="AF377" i="34"/>
  <c r="AF385" i="34"/>
  <c r="AF393" i="34"/>
  <c r="AF395" i="34"/>
  <c r="AF400" i="34"/>
  <c r="AF415" i="34"/>
  <c r="AF417" i="34"/>
  <c r="AF428" i="34"/>
  <c r="AF443" i="34"/>
  <c r="AF455" i="34"/>
  <c r="AF467" i="34"/>
  <c r="AF482" i="34"/>
  <c r="AF493" i="34"/>
  <c r="AF496" i="34"/>
  <c r="AF499" i="34"/>
  <c r="AF507" i="34"/>
  <c r="AF514" i="34"/>
  <c r="AF523" i="34"/>
  <c r="AF530" i="34"/>
  <c r="AF550" i="34"/>
  <c r="AF555" i="34"/>
  <c r="AF562" i="34"/>
  <c r="AF563" i="34"/>
  <c r="AF584" i="34"/>
  <c r="AF593" i="34"/>
  <c r="AF610" i="34"/>
  <c r="AF622" i="34"/>
  <c r="AF642" i="34"/>
  <c r="AF657" i="34"/>
  <c r="AF662" i="34"/>
  <c r="AF666" i="34"/>
  <c r="AF677" i="34"/>
  <c r="AF685" i="34"/>
  <c r="AF689" i="34"/>
  <c r="AF697" i="34"/>
  <c r="AF719" i="34"/>
  <c r="AF720" i="34"/>
  <c r="AF723" i="34"/>
  <c r="AF731" i="34"/>
  <c r="AF736" i="34"/>
  <c r="AF737" i="34"/>
  <c r="AF739" i="34"/>
  <c r="AF747" i="34"/>
  <c r="AF761" i="34"/>
  <c r="AF765" i="34"/>
  <c r="AG23" i="34"/>
  <c r="AG30" i="34"/>
  <c r="AG40" i="34"/>
  <c r="AG52" i="34"/>
  <c r="AG54" i="34"/>
  <c r="AG67" i="34"/>
  <c r="AG90" i="34"/>
  <c r="AG97" i="34"/>
  <c r="AG109" i="34"/>
  <c r="AG113" i="34"/>
  <c r="AG120" i="34"/>
  <c r="AG122" i="34"/>
  <c r="AG126" i="34"/>
  <c r="AG128" i="34"/>
  <c r="AG133" i="34"/>
  <c r="AG136" i="34"/>
  <c r="AG146" i="34"/>
  <c r="AG151" i="34"/>
  <c r="AG158" i="34"/>
  <c r="AG166" i="34"/>
  <c r="AG177" i="34"/>
  <c r="AG208" i="34"/>
  <c r="AG218" i="34"/>
  <c r="AG220" i="34"/>
  <c r="AG228" i="34"/>
  <c r="AG252" i="34"/>
  <c r="AG278" i="34"/>
  <c r="AG279" i="34"/>
  <c r="AG285" i="34"/>
  <c r="AG295" i="34"/>
  <c r="AG310" i="34"/>
  <c r="AG321" i="34"/>
  <c r="AG327" i="34"/>
  <c r="AG332" i="34"/>
  <c r="AG348" i="34"/>
  <c r="AG363" i="34"/>
  <c r="AG377" i="34"/>
  <c r="AG385" i="34"/>
  <c r="AG393" i="34"/>
  <c r="AG395" i="34"/>
  <c r="AG400" i="34"/>
  <c r="AG415" i="34"/>
  <c r="AG417" i="34"/>
  <c r="AG428" i="34"/>
  <c r="AG443" i="34"/>
  <c r="AG455" i="34"/>
  <c r="AG467" i="34"/>
  <c r="AG482" i="34"/>
  <c r="AG493" i="34"/>
  <c r="AG496" i="34"/>
  <c r="AG499" i="34"/>
  <c r="AG507" i="34"/>
  <c r="AG514" i="34"/>
  <c r="AG523" i="34"/>
  <c r="AG530" i="34"/>
  <c r="AG550" i="34"/>
  <c r="AG555" i="34"/>
  <c r="AG562" i="34"/>
  <c r="AG563" i="34"/>
  <c r="AG584" i="34"/>
  <c r="AG593" i="34"/>
  <c r="AG610" i="34"/>
  <c r="AG622" i="34"/>
  <c r="AG642" i="34"/>
  <c r="AG657" i="34"/>
  <c r="AG662" i="34"/>
  <c r="AG666" i="34"/>
  <c r="AG677" i="34"/>
  <c r="AG685" i="34"/>
  <c r="AG689" i="34"/>
  <c r="AG697" i="34"/>
  <c r="AG719" i="34"/>
  <c r="AG720" i="34"/>
  <c r="AG723" i="34"/>
  <c r="AG731" i="34"/>
  <c r="AG736" i="34"/>
  <c r="AG737" i="34"/>
  <c r="AG739" i="34"/>
  <c r="AG747" i="34"/>
  <c r="AG761" i="34"/>
  <c r="AG765" i="34"/>
  <c r="D17" i="34"/>
  <c r="D19" i="34"/>
  <c r="D21" i="34"/>
  <c r="D26" i="34"/>
  <c r="D29" i="34"/>
  <c r="D32" i="34"/>
  <c r="D35" i="34"/>
  <c r="D36" i="34"/>
  <c r="D37" i="34"/>
  <c r="D43" i="34"/>
  <c r="D55" i="34"/>
  <c r="D59" i="34"/>
  <c r="D61" i="34"/>
  <c r="D62" i="34"/>
  <c r="D66" i="34"/>
  <c r="D68" i="34"/>
  <c r="D70" i="34"/>
  <c r="D74" i="34"/>
  <c r="D80" i="34"/>
  <c r="D82" i="34"/>
  <c r="D84" i="34"/>
  <c r="D87" i="34"/>
  <c r="D88" i="34"/>
  <c r="D101" i="34"/>
  <c r="D102" i="34"/>
  <c r="D103" i="34"/>
  <c r="D104" i="34"/>
  <c r="D108" i="34"/>
  <c r="D114" i="34"/>
  <c r="D119" i="34"/>
  <c r="D124" i="34"/>
  <c r="D125" i="34"/>
  <c r="D135" i="34"/>
  <c r="D140" i="34"/>
  <c r="D143" i="34"/>
  <c r="D148" i="34"/>
  <c r="D150" i="34"/>
  <c r="D152" i="34"/>
  <c r="D155" i="34"/>
  <c r="D157" i="34"/>
  <c r="D159" i="34"/>
  <c r="D161" i="34"/>
  <c r="D163" i="34"/>
  <c r="D167" i="34"/>
  <c r="D169" i="34"/>
  <c r="D171" i="34"/>
  <c r="D173" i="34"/>
  <c r="D176" i="34"/>
  <c r="D181" i="34"/>
  <c r="D183" i="34"/>
  <c r="D185" i="34"/>
  <c r="D189" i="34"/>
  <c r="D196" i="34"/>
  <c r="D198" i="34"/>
  <c r="D200" i="34"/>
  <c r="D204" i="34"/>
  <c r="D205" i="34"/>
  <c r="D206" i="34"/>
  <c r="D210" i="34"/>
  <c r="D214" i="34"/>
  <c r="D224" i="34"/>
  <c r="D227" i="34"/>
  <c r="D237" i="34"/>
  <c r="D240" i="34"/>
  <c r="D246" i="34"/>
  <c r="D249" i="34"/>
  <c r="D254" i="34"/>
  <c r="D261" i="34"/>
  <c r="D264" i="34"/>
  <c r="D267" i="34"/>
  <c r="D268" i="34"/>
  <c r="D275" i="34"/>
  <c r="D277" i="34"/>
  <c r="D286" i="34"/>
  <c r="D290" i="34"/>
  <c r="D293" i="34"/>
  <c r="D297" i="34"/>
  <c r="D299" i="34"/>
  <c r="D301" i="34"/>
  <c r="D305" i="34"/>
  <c r="D307" i="34"/>
  <c r="D308" i="34"/>
  <c r="D309" i="34"/>
  <c r="D325" i="34"/>
  <c r="D335" i="34"/>
  <c r="D338" i="34"/>
  <c r="D342" i="34"/>
  <c r="D346" i="34"/>
  <c r="D353" i="34"/>
  <c r="D355" i="34"/>
  <c r="D356" i="34"/>
  <c r="D357" i="34"/>
  <c r="D359" i="34"/>
  <c r="D364" i="34"/>
  <c r="D365" i="34"/>
  <c r="D369" i="34"/>
  <c r="D372" i="34"/>
  <c r="D373" i="34"/>
  <c r="D384" i="34"/>
  <c r="D388" i="34"/>
  <c r="D394" i="34"/>
  <c r="D396" i="34"/>
  <c r="D402" i="34"/>
  <c r="D407" i="34"/>
  <c r="D411" i="34"/>
  <c r="D412" i="34"/>
  <c r="D420" i="34"/>
  <c r="D421" i="34"/>
  <c r="D422" i="34"/>
  <c r="D423" i="34"/>
  <c r="D427" i="34"/>
  <c r="D430" i="34"/>
  <c r="D436" i="34"/>
  <c r="D437" i="34"/>
  <c r="D444" i="34"/>
  <c r="D447" i="34"/>
  <c r="D451" i="34"/>
  <c r="D454" i="34"/>
  <c r="D459" i="34"/>
  <c r="D463" i="34"/>
  <c r="D469" i="34"/>
  <c r="D477" i="34"/>
  <c r="D479" i="34"/>
  <c r="D480" i="34"/>
  <c r="D485" i="34"/>
  <c r="D486" i="34"/>
  <c r="D489" i="34"/>
  <c r="D497" i="34"/>
  <c r="D502" i="34"/>
  <c r="D511" i="34"/>
  <c r="D518" i="34"/>
  <c r="D527" i="34"/>
  <c r="D532" i="34"/>
  <c r="D537" i="34"/>
  <c r="D538" i="34"/>
  <c r="D545" i="34"/>
  <c r="D557" i="34"/>
  <c r="D560" i="34"/>
  <c r="D564" i="34"/>
  <c r="D566" i="34"/>
  <c r="D569" i="34"/>
  <c r="D577" i="34"/>
  <c r="D579" i="34"/>
  <c r="D586" i="34"/>
  <c r="D590" i="34"/>
  <c r="D592" i="34"/>
  <c r="D595" i="34"/>
  <c r="D600" i="34"/>
  <c r="D604" i="34"/>
  <c r="D611" i="34"/>
  <c r="D618" i="34"/>
  <c r="D626" i="34"/>
  <c r="D631" i="34"/>
  <c r="D634" i="34"/>
  <c r="D638" i="34"/>
  <c r="D644" i="34"/>
  <c r="D645" i="34"/>
  <c r="D649" i="34"/>
  <c r="D663" i="34"/>
  <c r="D675" i="34"/>
  <c r="D682" i="34"/>
  <c r="D687" i="34"/>
  <c r="D693" i="34"/>
  <c r="D700" i="34"/>
  <c r="D706" i="34"/>
  <c r="D712" i="34"/>
  <c r="D715" i="34"/>
  <c r="D717" i="34"/>
  <c r="D732" i="34"/>
  <c r="D734" i="34"/>
  <c r="D740" i="34"/>
  <c r="D743" i="34"/>
  <c r="D751" i="34"/>
  <c r="D754" i="34"/>
  <c r="D757" i="34"/>
  <c r="D776" i="34"/>
  <c r="I17" i="34"/>
  <c r="I19" i="34"/>
  <c r="I21" i="34"/>
  <c r="M17" i="34"/>
  <c r="M19" i="34"/>
  <c r="M21" i="34"/>
  <c r="N17" i="34"/>
  <c r="N19" i="34"/>
  <c r="N21" i="34"/>
  <c r="O17" i="34"/>
  <c r="O19" i="34"/>
  <c r="O21" i="34"/>
  <c r="O26" i="34"/>
  <c r="O29" i="34"/>
  <c r="O32" i="34"/>
  <c r="O35" i="34"/>
  <c r="O36" i="34"/>
  <c r="O37" i="34"/>
  <c r="O43" i="34"/>
  <c r="O55" i="34"/>
  <c r="O59" i="34"/>
  <c r="O61" i="34"/>
  <c r="O62" i="34"/>
  <c r="O66" i="34"/>
  <c r="O68" i="34"/>
  <c r="O70" i="34"/>
  <c r="O74" i="34"/>
  <c r="O80" i="34"/>
  <c r="O82" i="34"/>
  <c r="O84" i="34"/>
  <c r="O87" i="34"/>
  <c r="O88" i="34"/>
  <c r="O101" i="34"/>
  <c r="O102" i="34"/>
  <c r="O103" i="34"/>
  <c r="O104" i="34"/>
  <c r="O108" i="34"/>
  <c r="O114" i="34"/>
  <c r="O119" i="34"/>
  <c r="O124" i="34"/>
  <c r="O125" i="34"/>
  <c r="O135" i="34"/>
  <c r="O140" i="34"/>
  <c r="O143" i="34"/>
  <c r="O148" i="34"/>
  <c r="O150" i="34"/>
  <c r="O152" i="34"/>
  <c r="O155" i="34"/>
  <c r="O157" i="34"/>
  <c r="O159" i="34"/>
  <c r="O161" i="34"/>
  <c r="O163" i="34"/>
  <c r="O167" i="34"/>
  <c r="O169" i="34"/>
  <c r="O171" i="34"/>
  <c r="O173" i="34"/>
  <c r="O176" i="34"/>
  <c r="O181" i="34"/>
  <c r="O183" i="34"/>
  <c r="O185" i="34"/>
  <c r="O189" i="34"/>
  <c r="O196" i="34"/>
  <c r="O198" i="34"/>
  <c r="O200" i="34"/>
  <c r="O204" i="34"/>
  <c r="O205" i="34"/>
  <c r="O206" i="34"/>
  <c r="O210" i="34"/>
  <c r="O214" i="34"/>
  <c r="O224" i="34"/>
  <c r="O227" i="34"/>
  <c r="O237" i="34"/>
  <c r="O240" i="34"/>
  <c r="O246" i="34"/>
  <c r="O249" i="34"/>
  <c r="O254" i="34"/>
  <c r="O261" i="34"/>
  <c r="O264" i="34"/>
  <c r="O267" i="34"/>
  <c r="O268" i="34"/>
  <c r="O275" i="34"/>
  <c r="O277" i="34"/>
  <c r="O286" i="34"/>
  <c r="O290" i="34"/>
  <c r="O293" i="34"/>
  <c r="O297" i="34"/>
  <c r="O299" i="34"/>
  <c r="O301" i="34"/>
  <c r="O305" i="34"/>
  <c r="O307" i="34"/>
  <c r="O308" i="34"/>
  <c r="O309" i="34"/>
  <c r="O325" i="34"/>
  <c r="O335" i="34"/>
  <c r="O338" i="34"/>
  <c r="O342" i="34"/>
  <c r="O346" i="34"/>
  <c r="O353" i="34"/>
  <c r="O355" i="34"/>
  <c r="O356" i="34"/>
  <c r="O357" i="34"/>
  <c r="O359" i="34"/>
  <c r="O364" i="34"/>
  <c r="O365" i="34"/>
  <c r="O369" i="34"/>
  <c r="O372" i="34"/>
  <c r="O373" i="34"/>
  <c r="O384" i="34"/>
  <c r="O388" i="34"/>
  <c r="O394" i="34"/>
  <c r="O396" i="34"/>
  <c r="O402" i="34"/>
  <c r="O407" i="34"/>
  <c r="O411" i="34"/>
  <c r="O412" i="34"/>
  <c r="O420" i="34"/>
  <c r="O421" i="34"/>
  <c r="O422" i="34"/>
  <c r="O423" i="34"/>
  <c r="O427" i="34"/>
  <c r="O430" i="34"/>
  <c r="O436" i="34"/>
  <c r="O437" i="34"/>
  <c r="O444" i="34"/>
  <c r="O447" i="34"/>
  <c r="O451" i="34"/>
  <c r="O454" i="34"/>
  <c r="O459" i="34"/>
  <c r="O463" i="34"/>
  <c r="O469" i="34"/>
  <c r="O477" i="34"/>
  <c r="O479" i="34"/>
  <c r="O480" i="34"/>
  <c r="O485" i="34"/>
  <c r="O486" i="34"/>
  <c r="O489" i="34"/>
  <c r="O497" i="34"/>
  <c r="O502" i="34"/>
  <c r="O511" i="34"/>
  <c r="O518" i="34"/>
  <c r="O527" i="34"/>
  <c r="O532" i="34"/>
  <c r="O537" i="34"/>
  <c r="O538" i="34"/>
  <c r="O545" i="34"/>
  <c r="O557" i="34"/>
  <c r="O560" i="34"/>
  <c r="O564" i="34"/>
  <c r="O566" i="34"/>
  <c r="O569" i="34"/>
  <c r="O577" i="34"/>
  <c r="O579" i="34"/>
  <c r="O586" i="34"/>
  <c r="O590" i="34"/>
  <c r="O592" i="34"/>
  <c r="O595" i="34"/>
  <c r="O600" i="34"/>
  <c r="O604" i="34"/>
  <c r="O611" i="34"/>
  <c r="O618" i="34"/>
  <c r="O626" i="34"/>
  <c r="O631" i="34"/>
  <c r="O634" i="34"/>
  <c r="O638" i="34"/>
  <c r="O644" i="34"/>
  <c r="O645" i="34"/>
  <c r="O649" i="34"/>
  <c r="O663" i="34"/>
  <c r="O675" i="34"/>
  <c r="O682" i="34"/>
  <c r="O687" i="34"/>
  <c r="O693" i="34"/>
  <c r="O700" i="34"/>
  <c r="O706" i="34"/>
  <c r="O712" i="34"/>
  <c r="O715" i="34"/>
  <c r="O717" i="34"/>
  <c r="O732" i="34"/>
  <c r="O734" i="34"/>
  <c r="O740" i="34"/>
  <c r="O743" i="34"/>
  <c r="O751" i="34"/>
  <c r="O754" i="34"/>
  <c r="O757" i="34"/>
  <c r="O776" i="34"/>
  <c r="P17" i="34"/>
  <c r="P19" i="34"/>
  <c r="P21" i="34"/>
  <c r="P26" i="34"/>
  <c r="P29" i="34"/>
  <c r="P32" i="34"/>
  <c r="P35" i="34"/>
  <c r="P36" i="34"/>
  <c r="P37" i="34"/>
  <c r="P43" i="34"/>
  <c r="P55" i="34"/>
  <c r="P59" i="34"/>
  <c r="P61" i="34"/>
  <c r="P62" i="34"/>
  <c r="P66" i="34"/>
  <c r="P68" i="34"/>
  <c r="P70" i="34"/>
  <c r="P74" i="34"/>
  <c r="P80" i="34"/>
  <c r="P82" i="34"/>
  <c r="P84" i="34"/>
  <c r="P87" i="34"/>
  <c r="P88" i="34"/>
  <c r="P101" i="34"/>
  <c r="P102" i="34"/>
  <c r="P103" i="34"/>
  <c r="P104" i="34"/>
  <c r="P108" i="34"/>
  <c r="P114" i="34"/>
  <c r="P119" i="34"/>
  <c r="P124" i="34"/>
  <c r="P125" i="34"/>
  <c r="P135" i="34"/>
  <c r="P140" i="34"/>
  <c r="P143" i="34"/>
  <c r="P148" i="34"/>
  <c r="P150" i="34"/>
  <c r="P152" i="34"/>
  <c r="P155" i="34"/>
  <c r="P157" i="34"/>
  <c r="P159" i="34"/>
  <c r="P161" i="34"/>
  <c r="P163" i="34"/>
  <c r="P167" i="34"/>
  <c r="P169" i="34"/>
  <c r="P171" i="34"/>
  <c r="P173" i="34"/>
  <c r="P176" i="34"/>
  <c r="P181" i="34"/>
  <c r="P183" i="34"/>
  <c r="P185" i="34"/>
  <c r="P189" i="34"/>
  <c r="P196" i="34"/>
  <c r="P198" i="34"/>
  <c r="P200" i="34"/>
  <c r="P204" i="34"/>
  <c r="P205" i="34"/>
  <c r="P206" i="34"/>
  <c r="P210" i="34"/>
  <c r="P214" i="34"/>
  <c r="P224" i="34"/>
  <c r="P227" i="34"/>
  <c r="P237" i="34"/>
  <c r="P240" i="34"/>
  <c r="P246" i="34"/>
  <c r="P249" i="34"/>
  <c r="P254" i="34"/>
  <c r="P261" i="34"/>
  <c r="P264" i="34"/>
  <c r="P267" i="34"/>
  <c r="P268" i="34"/>
  <c r="P275" i="34"/>
  <c r="P277" i="34"/>
  <c r="P286" i="34"/>
  <c r="P290" i="34"/>
  <c r="P293" i="34"/>
  <c r="P297" i="34"/>
  <c r="P299" i="34"/>
  <c r="P301" i="34"/>
  <c r="P305" i="34"/>
  <c r="P307" i="34"/>
  <c r="P308" i="34"/>
  <c r="P309" i="34"/>
  <c r="P325" i="34"/>
  <c r="P335" i="34"/>
  <c r="P338" i="34"/>
  <c r="P342" i="34"/>
  <c r="P346" i="34"/>
  <c r="P353" i="34"/>
  <c r="P355" i="34"/>
  <c r="P356" i="34"/>
  <c r="P357" i="34"/>
  <c r="P359" i="34"/>
  <c r="P364" i="34"/>
  <c r="P365" i="34"/>
  <c r="P369" i="34"/>
  <c r="P372" i="34"/>
  <c r="P373" i="34"/>
  <c r="P384" i="34"/>
  <c r="P388" i="34"/>
  <c r="P394" i="34"/>
  <c r="P396" i="34"/>
  <c r="P402" i="34"/>
  <c r="P407" i="34"/>
  <c r="P411" i="34"/>
  <c r="P412" i="34"/>
  <c r="P420" i="34"/>
  <c r="P421" i="34"/>
  <c r="P422" i="34"/>
  <c r="P423" i="34"/>
  <c r="P427" i="34"/>
  <c r="P430" i="34"/>
  <c r="P436" i="34"/>
  <c r="P437" i="34"/>
  <c r="P444" i="34"/>
  <c r="P447" i="34"/>
  <c r="P451" i="34"/>
  <c r="P454" i="34"/>
  <c r="P459" i="34"/>
  <c r="P463" i="34"/>
  <c r="P469" i="34"/>
  <c r="P477" i="34"/>
  <c r="P479" i="34"/>
  <c r="P480" i="34"/>
  <c r="P485" i="34"/>
  <c r="P486" i="34"/>
  <c r="P489" i="34"/>
  <c r="P497" i="34"/>
  <c r="P502" i="34"/>
  <c r="P511" i="34"/>
  <c r="P518" i="34"/>
  <c r="P527" i="34"/>
  <c r="P532" i="34"/>
  <c r="P537" i="34"/>
  <c r="P538" i="34"/>
  <c r="P545" i="34"/>
  <c r="P557" i="34"/>
  <c r="P560" i="34"/>
  <c r="P564" i="34"/>
  <c r="P566" i="34"/>
  <c r="P569" i="34"/>
  <c r="P577" i="34"/>
  <c r="P579" i="34"/>
  <c r="P586" i="34"/>
  <c r="P590" i="34"/>
  <c r="P592" i="34"/>
  <c r="P595" i="34"/>
  <c r="P600" i="34"/>
  <c r="P604" i="34"/>
  <c r="P611" i="34"/>
  <c r="P618" i="34"/>
  <c r="P626" i="34"/>
  <c r="P631" i="34"/>
  <c r="P634" i="34"/>
  <c r="P638" i="34"/>
  <c r="P644" i="34"/>
  <c r="P645" i="34"/>
  <c r="P649" i="34"/>
  <c r="P663" i="34"/>
  <c r="P675" i="34"/>
  <c r="P682" i="34"/>
  <c r="P687" i="34"/>
  <c r="P693" i="34"/>
  <c r="P700" i="34"/>
  <c r="P706" i="34"/>
  <c r="P712" i="34"/>
  <c r="P715" i="34"/>
  <c r="P717" i="34"/>
  <c r="P732" i="34"/>
  <c r="P734" i="34"/>
  <c r="P740" i="34"/>
  <c r="P743" i="34"/>
  <c r="P751" i="34"/>
  <c r="P754" i="34"/>
  <c r="P757" i="34"/>
  <c r="P776" i="34"/>
  <c r="Q17" i="34"/>
  <c r="Q19" i="34"/>
  <c r="Q21" i="34"/>
  <c r="Q26" i="34"/>
  <c r="Q29" i="34"/>
  <c r="Q32" i="34"/>
  <c r="Q35" i="34"/>
  <c r="Q36" i="34"/>
  <c r="Q37" i="34"/>
  <c r="Q43" i="34"/>
  <c r="Q55" i="34"/>
  <c r="Q59" i="34"/>
  <c r="Q61" i="34"/>
  <c r="Q62" i="34"/>
  <c r="Q66" i="34"/>
  <c r="Q68" i="34"/>
  <c r="Q70" i="34"/>
  <c r="Q74" i="34"/>
  <c r="Q80" i="34"/>
  <c r="Q82" i="34"/>
  <c r="Q84" i="34"/>
  <c r="Q87" i="34"/>
  <c r="Q88" i="34"/>
  <c r="Q101" i="34"/>
  <c r="Q102" i="34"/>
  <c r="Q103" i="34"/>
  <c r="Q104" i="34"/>
  <c r="Q108" i="34"/>
  <c r="Q114" i="34"/>
  <c r="Q119" i="34"/>
  <c r="Q124" i="34"/>
  <c r="Q125" i="34"/>
  <c r="Q135" i="34"/>
  <c r="Q140" i="34"/>
  <c r="Q143" i="34"/>
  <c r="Q148" i="34"/>
  <c r="Q150" i="34"/>
  <c r="Q152" i="34"/>
  <c r="Q155" i="34"/>
  <c r="Q157" i="34"/>
  <c r="Q159" i="34"/>
  <c r="Q161" i="34"/>
  <c r="Q163" i="34"/>
  <c r="Q167" i="34"/>
  <c r="Q169" i="34"/>
  <c r="Q171" i="34"/>
  <c r="Q173" i="34"/>
  <c r="Q176" i="34"/>
  <c r="Q181" i="34"/>
  <c r="Q183" i="34"/>
  <c r="Q185" i="34"/>
  <c r="Q189" i="34"/>
  <c r="Q196" i="34"/>
  <c r="Q198" i="34"/>
  <c r="Q200" i="34"/>
  <c r="Q204" i="34"/>
  <c r="Q205" i="34"/>
  <c r="Q206" i="34"/>
  <c r="Q210" i="34"/>
  <c r="Q214" i="34"/>
  <c r="Q224" i="34"/>
  <c r="Q227" i="34"/>
  <c r="Q237" i="34"/>
  <c r="Q240" i="34"/>
  <c r="Q246" i="34"/>
  <c r="Q249" i="34"/>
  <c r="Q254" i="34"/>
  <c r="Q261" i="34"/>
  <c r="Q264" i="34"/>
  <c r="Q267" i="34"/>
  <c r="Q268" i="34"/>
  <c r="Q275" i="34"/>
  <c r="Q277" i="34"/>
  <c r="Q286" i="34"/>
  <c r="Q290" i="34"/>
  <c r="Q293" i="34"/>
  <c r="Q297" i="34"/>
  <c r="Q299" i="34"/>
  <c r="Q301" i="34"/>
  <c r="Q305" i="34"/>
  <c r="Q307" i="34"/>
  <c r="Q308" i="34"/>
  <c r="Q309" i="34"/>
  <c r="Q325" i="34"/>
  <c r="Q335" i="34"/>
  <c r="Q338" i="34"/>
  <c r="Q342" i="34"/>
  <c r="Q346" i="34"/>
  <c r="Q353" i="34"/>
  <c r="Q355" i="34"/>
  <c r="Q356" i="34"/>
  <c r="Q357" i="34"/>
  <c r="Q359" i="34"/>
  <c r="Q364" i="34"/>
  <c r="Q365" i="34"/>
  <c r="Q369" i="34"/>
  <c r="Q372" i="34"/>
  <c r="Q373" i="34"/>
  <c r="Q384" i="34"/>
  <c r="Q388" i="34"/>
  <c r="Q394" i="34"/>
  <c r="Q396" i="34"/>
  <c r="Q402" i="34"/>
  <c r="Q407" i="34"/>
  <c r="Q411" i="34"/>
  <c r="Q412" i="34"/>
  <c r="Q420" i="34"/>
  <c r="Q421" i="34"/>
  <c r="Q422" i="34"/>
  <c r="Q423" i="34"/>
  <c r="Q427" i="34"/>
  <c r="Q430" i="34"/>
  <c r="Q436" i="34"/>
  <c r="Q437" i="34"/>
  <c r="Q444" i="34"/>
  <c r="Q447" i="34"/>
  <c r="Q451" i="34"/>
  <c r="Q454" i="34"/>
  <c r="Q459" i="34"/>
  <c r="Q463" i="34"/>
  <c r="Q469" i="34"/>
  <c r="Q477" i="34"/>
  <c r="Q479" i="34"/>
  <c r="Q480" i="34"/>
  <c r="Q485" i="34"/>
  <c r="Q486" i="34"/>
  <c r="Q489" i="34"/>
  <c r="Q497" i="34"/>
  <c r="Q502" i="34"/>
  <c r="Q511" i="34"/>
  <c r="Q518" i="34"/>
  <c r="Q527" i="34"/>
  <c r="Q532" i="34"/>
  <c r="Q537" i="34"/>
  <c r="Q538" i="34"/>
  <c r="Q545" i="34"/>
  <c r="Q557" i="34"/>
  <c r="Q560" i="34"/>
  <c r="Q564" i="34"/>
  <c r="Q566" i="34"/>
  <c r="Q569" i="34"/>
  <c r="Q577" i="34"/>
  <c r="Q579" i="34"/>
  <c r="Q586" i="34"/>
  <c r="Q590" i="34"/>
  <c r="Q592" i="34"/>
  <c r="Q595" i="34"/>
  <c r="Q600" i="34"/>
  <c r="Q604" i="34"/>
  <c r="Q611" i="34"/>
  <c r="Q618" i="34"/>
  <c r="Q626" i="34"/>
  <c r="Q631" i="34"/>
  <c r="Q634" i="34"/>
  <c r="Q638" i="34"/>
  <c r="Q644" i="34"/>
  <c r="Q645" i="34"/>
  <c r="Q649" i="34"/>
  <c r="Q663" i="34"/>
  <c r="Q675" i="34"/>
  <c r="Q682" i="34"/>
  <c r="Q687" i="34"/>
  <c r="Q693" i="34"/>
  <c r="Q700" i="34"/>
  <c r="Q706" i="34"/>
  <c r="Q712" i="34"/>
  <c r="Q715" i="34"/>
  <c r="Q717" i="34"/>
  <c r="Q732" i="34"/>
  <c r="Q734" i="34"/>
  <c r="Q740" i="34"/>
  <c r="Q743" i="34"/>
  <c r="Q751" i="34"/>
  <c r="Q754" i="34"/>
  <c r="Q757" i="34"/>
  <c r="Q776" i="34"/>
  <c r="M22" i="34"/>
  <c r="I22" i="34"/>
  <c r="N22" i="34"/>
  <c r="S22" i="34"/>
  <c r="S21" i="34"/>
  <c r="M20" i="34"/>
  <c r="I20" i="34"/>
  <c r="N20" i="34"/>
  <c r="S20" i="34"/>
  <c r="S19" i="34"/>
  <c r="R22" i="34"/>
  <c r="R21" i="34"/>
  <c r="R20" i="34"/>
  <c r="R19" i="34"/>
  <c r="M18" i="34"/>
  <c r="I18" i="34"/>
  <c r="N18" i="34"/>
  <c r="S18" i="34"/>
  <c r="R18" i="34"/>
  <c r="R17" i="34"/>
  <c r="S17" i="34"/>
  <c r="T22" i="34"/>
  <c r="T21" i="34"/>
  <c r="T20" i="34"/>
  <c r="T19" i="34"/>
  <c r="T18" i="34"/>
  <c r="T17" i="34"/>
  <c r="U17" i="34"/>
  <c r="U19" i="34"/>
  <c r="U21" i="34"/>
  <c r="U26" i="34"/>
  <c r="U29" i="34"/>
  <c r="U32" i="34"/>
  <c r="U35" i="34"/>
  <c r="U36" i="34"/>
  <c r="U37" i="34"/>
  <c r="U43" i="34"/>
  <c r="U55" i="34"/>
  <c r="U59" i="34"/>
  <c r="U61" i="34"/>
  <c r="U62" i="34"/>
  <c r="U66" i="34"/>
  <c r="U68" i="34"/>
  <c r="U70" i="34"/>
  <c r="U74" i="34"/>
  <c r="U80" i="34"/>
  <c r="U82" i="34"/>
  <c r="U84" i="34"/>
  <c r="U87" i="34"/>
  <c r="U88" i="34"/>
  <c r="U101" i="34"/>
  <c r="U102" i="34"/>
  <c r="U103" i="34"/>
  <c r="U104" i="34"/>
  <c r="U108" i="34"/>
  <c r="U114" i="34"/>
  <c r="U119" i="34"/>
  <c r="U124" i="34"/>
  <c r="U125" i="34"/>
  <c r="U135" i="34"/>
  <c r="U140" i="34"/>
  <c r="U143" i="34"/>
  <c r="U148" i="34"/>
  <c r="U150" i="34"/>
  <c r="U152" i="34"/>
  <c r="U155" i="34"/>
  <c r="U157" i="34"/>
  <c r="U159" i="34"/>
  <c r="U161" i="34"/>
  <c r="U163" i="34"/>
  <c r="U167" i="34"/>
  <c r="U169" i="34"/>
  <c r="U171" i="34"/>
  <c r="U173" i="34"/>
  <c r="U176" i="34"/>
  <c r="U181" i="34"/>
  <c r="U183" i="34"/>
  <c r="U185" i="34"/>
  <c r="U189" i="34"/>
  <c r="U196" i="34"/>
  <c r="U198" i="34"/>
  <c r="U200" i="34"/>
  <c r="U204" i="34"/>
  <c r="U205" i="34"/>
  <c r="U206" i="34"/>
  <c r="U210" i="34"/>
  <c r="U214" i="34"/>
  <c r="U224" i="34"/>
  <c r="U227" i="34"/>
  <c r="U237" i="34"/>
  <c r="U240" i="34"/>
  <c r="U246" i="34"/>
  <c r="U249" i="34"/>
  <c r="U254" i="34"/>
  <c r="U261" i="34"/>
  <c r="U264" i="34"/>
  <c r="U267" i="34"/>
  <c r="U268" i="34"/>
  <c r="U275" i="34"/>
  <c r="U277" i="34"/>
  <c r="U286" i="34"/>
  <c r="U290" i="34"/>
  <c r="U293" i="34"/>
  <c r="U297" i="34"/>
  <c r="U299" i="34"/>
  <c r="U301" i="34"/>
  <c r="U305" i="34"/>
  <c r="U307" i="34"/>
  <c r="U308" i="34"/>
  <c r="U309" i="34"/>
  <c r="U325" i="34"/>
  <c r="U335" i="34"/>
  <c r="U338" i="34"/>
  <c r="U342" i="34"/>
  <c r="U346" i="34"/>
  <c r="U353" i="34"/>
  <c r="U355" i="34"/>
  <c r="U356" i="34"/>
  <c r="U357" i="34"/>
  <c r="U359" i="34"/>
  <c r="U364" i="34"/>
  <c r="U365" i="34"/>
  <c r="U369" i="34"/>
  <c r="U372" i="34"/>
  <c r="U373" i="34"/>
  <c r="U384" i="34"/>
  <c r="U388" i="34"/>
  <c r="U394" i="34"/>
  <c r="U396" i="34"/>
  <c r="U402" i="34"/>
  <c r="U407" i="34"/>
  <c r="U411" i="34"/>
  <c r="U412" i="34"/>
  <c r="U420" i="34"/>
  <c r="U421" i="34"/>
  <c r="U422" i="34"/>
  <c r="U423" i="34"/>
  <c r="U427" i="34"/>
  <c r="U430" i="34"/>
  <c r="U436" i="34"/>
  <c r="U437" i="34"/>
  <c r="U444" i="34"/>
  <c r="U447" i="34"/>
  <c r="U451" i="34"/>
  <c r="U454" i="34"/>
  <c r="U459" i="34"/>
  <c r="U463" i="34"/>
  <c r="U469" i="34"/>
  <c r="U477" i="34"/>
  <c r="U479" i="34"/>
  <c r="U480" i="34"/>
  <c r="U485" i="34"/>
  <c r="U486" i="34"/>
  <c r="U489" i="34"/>
  <c r="U497" i="34"/>
  <c r="U502" i="34"/>
  <c r="U511" i="34"/>
  <c r="U518" i="34"/>
  <c r="U527" i="34"/>
  <c r="U532" i="34"/>
  <c r="U537" i="34"/>
  <c r="U538" i="34"/>
  <c r="U545" i="34"/>
  <c r="U557" i="34"/>
  <c r="U560" i="34"/>
  <c r="U564" i="34"/>
  <c r="U566" i="34"/>
  <c r="U569" i="34"/>
  <c r="U577" i="34"/>
  <c r="U579" i="34"/>
  <c r="U586" i="34"/>
  <c r="U590" i="34"/>
  <c r="U592" i="34"/>
  <c r="U595" i="34"/>
  <c r="U600" i="34"/>
  <c r="U604" i="34"/>
  <c r="U611" i="34"/>
  <c r="U618" i="34"/>
  <c r="U626" i="34"/>
  <c r="U631" i="34"/>
  <c r="U634" i="34"/>
  <c r="U638" i="34"/>
  <c r="U644" i="34"/>
  <c r="U645" i="34"/>
  <c r="U649" i="34"/>
  <c r="U663" i="34"/>
  <c r="U675" i="34"/>
  <c r="U682" i="34"/>
  <c r="U687" i="34"/>
  <c r="U693" i="34"/>
  <c r="U700" i="34"/>
  <c r="U706" i="34"/>
  <c r="U712" i="34"/>
  <c r="U715" i="34"/>
  <c r="U717" i="34"/>
  <c r="U732" i="34"/>
  <c r="U734" i="34"/>
  <c r="U740" i="34"/>
  <c r="U743" i="34"/>
  <c r="U751" i="34"/>
  <c r="U754" i="34"/>
  <c r="U757" i="34"/>
  <c r="U776" i="34"/>
  <c r="V17" i="34"/>
  <c r="V19" i="34"/>
  <c r="V21" i="34"/>
  <c r="V26" i="34"/>
  <c r="V29" i="34"/>
  <c r="V32" i="34"/>
  <c r="V35" i="34"/>
  <c r="V36" i="34"/>
  <c r="V37" i="34"/>
  <c r="V43" i="34"/>
  <c r="V55" i="34"/>
  <c r="V59" i="34"/>
  <c r="V61" i="34"/>
  <c r="V62" i="34"/>
  <c r="V66" i="34"/>
  <c r="V68" i="34"/>
  <c r="V70" i="34"/>
  <c r="V74" i="34"/>
  <c r="V80" i="34"/>
  <c r="V82" i="34"/>
  <c r="V84" i="34"/>
  <c r="V87" i="34"/>
  <c r="V88" i="34"/>
  <c r="V101" i="34"/>
  <c r="V102" i="34"/>
  <c r="V103" i="34"/>
  <c r="V104" i="34"/>
  <c r="V108" i="34"/>
  <c r="V114" i="34"/>
  <c r="V119" i="34"/>
  <c r="V124" i="34"/>
  <c r="V125" i="34"/>
  <c r="V135" i="34"/>
  <c r="V140" i="34"/>
  <c r="V143" i="34"/>
  <c r="V148" i="34"/>
  <c r="V150" i="34"/>
  <c r="V152" i="34"/>
  <c r="V155" i="34"/>
  <c r="V157" i="34"/>
  <c r="V159" i="34"/>
  <c r="V161" i="34"/>
  <c r="V163" i="34"/>
  <c r="V167" i="34"/>
  <c r="V169" i="34"/>
  <c r="V171" i="34"/>
  <c r="V173" i="34"/>
  <c r="V176" i="34"/>
  <c r="V181" i="34"/>
  <c r="V183" i="34"/>
  <c r="V185" i="34"/>
  <c r="V189" i="34"/>
  <c r="V196" i="34"/>
  <c r="V198" i="34"/>
  <c r="V200" i="34"/>
  <c r="V204" i="34"/>
  <c r="V205" i="34"/>
  <c r="V206" i="34"/>
  <c r="V210" i="34"/>
  <c r="V214" i="34"/>
  <c r="V224" i="34"/>
  <c r="V227" i="34"/>
  <c r="V237" i="34"/>
  <c r="V240" i="34"/>
  <c r="V246" i="34"/>
  <c r="V249" i="34"/>
  <c r="V254" i="34"/>
  <c r="V261" i="34"/>
  <c r="V264" i="34"/>
  <c r="V267" i="34"/>
  <c r="V268" i="34"/>
  <c r="V275" i="34"/>
  <c r="V277" i="34"/>
  <c r="V286" i="34"/>
  <c r="V290" i="34"/>
  <c r="V293" i="34"/>
  <c r="V297" i="34"/>
  <c r="V299" i="34"/>
  <c r="V301" i="34"/>
  <c r="V305" i="34"/>
  <c r="V307" i="34"/>
  <c r="V308" i="34"/>
  <c r="V309" i="34"/>
  <c r="V325" i="34"/>
  <c r="V335" i="34"/>
  <c r="V338" i="34"/>
  <c r="V342" i="34"/>
  <c r="V346" i="34"/>
  <c r="V353" i="34"/>
  <c r="V355" i="34"/>
  <c r="V356" i="34"/>
  <c r="V357" i="34"/>
  <c r="V359" i="34"/>
  <c r="V364" i="34"/>
  <c r="V365" i="34"/>
  <c r="V369" i="34"/>
  <c r="V372" i="34"/>
  <c r="V373" i="34"/>
  <c r="V384" i="34"/>
  <c r="V388" i="34"/>
  <c r="V394" i="34"/>
  <c r="V396" i="34"/>
  <c r="V402" i="34"/>
  <c r="V407" i="34"/>
  <c r="V411" i="34"/>
  <c r="V412" i="34"/>
  <c r="V420" i="34"/>
  <c r="V421" i="34"/>
  <c r="V422" i="34"/>
  <c r="V423" i="34"/>
  <c r="V427" i="34"/>
  <c r="V430" i="34"/>
  <c r="V436" i="34"/>
  <c r="V437" i="34"/>
  <c r="V444" i="34"/>
  <c r="V447" i="34"/>
  <c r="V451" i="34"/>
  <c r="V454" i="34"/>
  <c r="V459" i="34"/>
  <c r="V463" i="34"/>
  <c r="V469" i="34"/>
  <c r="V477" i="34"/>
  <c r="V479" i="34"/>
  <c r="V480" i="34"/>
  <c r="V485" i="34"/>
  <c r="V486" i="34"/>
  <c r="V489" i="34"/>
  <c r="V497" i="34"/>
  <c r="V502" i="34"/>
  <c r="V511" i="34"/>
  <c r="V518" i="34"/>
  <c r="V527" i="34"/>
  <c r="V532" i="34"/>
  <c r="V537" i="34"/>
  <c r="V538" i="34"/>
  <c r="V545" i="34"/>
  <c r="V557" i="34"/>
  <c r="V560" i="34"/>
  <c r="V564" i="34"/>
  <c r="V566" i="34"/>
  <c r="V569" i="34"/>
  <c r="V577" i="34"/>
  <c r="V579" i="34"/>
  <c r="V586" i="34"/>
  <c r="V590" i="34"/>
  <c r="V592" i="34"/>
  <c r="V595" i="34"/>
  <c r="V600" i="34"/>
  <c r="V604" i="34"/>
  <c r="V611" i="34"/>
  <c r="V618" i="34"/>
  <c r="V626" i="34"/>
  <c r="V631" i="34"/>
  <c r="V634" i="34"/>
  <c r="V638" i="34"/>
  <c r="V644" i="34"/>
  <c r="V645" i="34"/>
  <c r="V649" i="34"/>
  <c r="V663" i="34"/>
  <c r="V675" i="34"/>
  <c r="V682" i="34"/>
  <c r="V687" i="34"/>
  <c r="V693" i="34"/>
  <c r="V700" i="34"/>
  <c r="V706" i="34"/>
  <c r="V712" i="34"/>
  <c r="V715" i="34"/>
  <c r="V717" i="34"/>
  <c r="V732" i="34"/>
  <c r="V734" i="34"/>
  <c r="V740" i="34"/>
  <c r="V743" i="34"/>
  <c r="V751" i="34"/>
  <c r="V754" i="34"/>
  <c r="V757" i="34"/>
  <c r="V776" i="34"/>
  <c r="W17" i="34"/>
  <c r="W19" i="34"/>
  <c r="W21" i="34"/>
  <c r="W26" i="34"/>
  <c r="W29" i="34"/>
  <c r="W32" i="34"/>
  <c r="W35" i="34"/>
  <c r="W36" i="34"/>
  <c r="W37" i="34"/>
  <c r="W43" i="34"/>
  <c r="W55" i="34"/>
  <c r="W59" i="34"/>
  <c r="W61" i="34"/>
  <c r="W62" i="34"/>
  <c r="W66" i="34"/>
  <c r="W68" i="34"/>
  <c r="W70" i="34"/>
  <c r="W74" i="34"/>
  <c r="W80" i="34"/>
  <c r="W82" i="34"/>
  <c r="W84" i="34"/>
  <c r="W87" i="34"/>
  <c r="W88" i="34"/>
  <c r="W101" i="34"/>
  <c r="W102" i="34"/>
  <c r="W103" i="34"/>
  <c r="W104" i="34"/>
  <c r="W108" i="34"/>
  <c r="W114" i="34"/>
  <c r="W119" i="34"/>
  <c r="W124" i="34"/>
  <c r="W125" i="34"/>
  <c r="W135" i="34"/>
  <c r="W140" i="34"/>
  <c r="W143" i="34"/>
  <c r="W148" i="34"/>
  <c r="W150" i="34"/>
  <c r="W152" i="34"/>
  <c r="W155" i="34"/>
  <c r="W157" i="34"/>
  <c r="W159" i="34"/>
  <c r="W161" i="34"/>
  <c r="W163" i="34"/>
  <c r="W167" i="34"/>
  <c r="W169" i="34"/>
  <c r="W171" i="34"/>
  <c r="W173" i="34"/>
  <c r="W176" i="34"/>
  <c r="W181" i="34"/>
  <c r="W183" i="34"/>
  <c r="W185" i="34"/>
  <c r="W189" i="34"/>
  <c r="W196" i="34"/>
  <c r="W198" i="34"/>
  <c r="W200" i="34"/>
  <c r="W204" i="34"/>
  <c r="W205" i="34"/>
  <c r="W206" i="34"/>
  <c r="W210" i="34"/>
  <c r="W214" i="34"/>
  <c r="W224" i="34"/>
  <c r="W227" i="34"/>
  <c r="W237" i="34"/>
  <c r="W240" i="34"/>
  <c r="W246" i="34"/>
  <c r="W249" i="34"/>
  <c r="W254" i="34"/>
  <c r="W261" i="34"/>
  <c r="W264" i="34"/>
  <c r="W267" i="34"/>
  <c r="W268" i="34"/>
  <c r="W275" i="34"/>
  <c r="W277" i="34"/>
  <c r="W286" i="34"/>
  <c r="W290" i="34"/>
  <c r="W293" i="34"/>
  <c r="W297" i="34"/>
  <c r="W299" i="34"/>
  <c r="W301" i="34"/>
  <c r="W305" i="34"/>
  <c r="W307" i="34"/>
  <c r="W308" i="34"/>
  <c r="W309" i="34"/>
  <c r="W325" i="34"/>
  <c r="W335" i="34"/>
  <c r="W338" i="34"/>
  <c r="W342" i="34"/>
  <c r="W346" i="34"/>
  <c r="W353" i="34"/>
  <c r="W355" i="34"/>
  <c r="W356" i="34"/>
  <c r="W357" i="34"/>
  <c r="W359" i="34"/>
  <c r="W364" i="34"/>
  <c r="W365" i="34"/>
  <c r="W369" i="34"/>
  <c r="W372" i="34"/>
  <c r="W373" i="34"/>
  <c r="W384" i="34"/>
  <c r="W388" i="34"/>
  <c r="W394" i="34"/>
  <c r="W396" i="34"/>
  <c r="W402" i="34"/>
  <c r="W407" i="34"/>
  <c r="W411" i="34"/>
  <c r="W412" i="34"/>
  <c r="W420" i="34"/>
  <c r="W421" i="34"/>
  <c r="W422" i="34"/>
  <c r="W423" i="34"/>
  <c r="W427" i="34"/>
  <c r="W430" i="34"/>
  <c r="W436" i="34"/>
  <c r="W437" i="34"/>
  <c r="W444" i="34"/>
  <c r="W447" i="34"/>
  <c r="W451" i="34"/>
  <c r="W454" i="34"/>
  <c r="W459" i="34"/>
  <c r="W463" i="34"/>
  <c r="W469" i="34"/>
  <c r="W477" i="34"/>
  <c r="W479" i="34"/>
  <c r="W480" i="34"/>
  <c r="W485" i="34"/>
  <c r="W486" i="34"/>
  <c r="W489" i="34"/>
  <c r="W497" i="34"/>
  <c r="W502" i="34"/>
  <c r="W511" i="34"/>
  <c r="W518" i="34"/>
  <c r="W527" i="34"/>
  <c r="W532" i="34"/>
  <c r="W537" i="34"/>
  <c r="W538" i="34"/>
  <c r="W545" i="34"/>
  <c r="W557" i="34"/>
  <c r="W560" i="34"/>
  <c r="W564" i="34"/>
  <c r="W566" i="34"/>
  <c r="W569" i="34"/>
  <c r="W577" i="34"/>
  <c r="W579" i="34"/>
  <c r="W586" i="34"/>
  <c r="W590" i="34"/>
  <c r="W592" i="34"/>
  <c r="W595" i="34"/>
  <c r="W600" i="34"/>
  <c r="W604" i="34"/>
  <c r="W611" i="34"/>
  <c r="W618" i="34"/>
  <c r="W626" i="34"/>
  <c r="W631" i="34"/>
  <c r="W634" i="34"/>
  <c r="W638" i="34"/>
  <c r="W644" i="34"/>
  <c r="W645" i="34"/>
  <c r="W649" i="34"/>
  <c r="W663" i="34"/>
  <c r="W675" i="34"/>
  <c r="W682" i="34"/>
  <c r="W687" i="34"/>
  <c r="W693" i="34"/>
  <c r="W700" i="34"/>
  <c r="W706" i="34"/>
  <c r="W712" i="34"/>
  <c r="W715" i="34"/>
  <c r="W717" i="34"/>
  <c r="W732" i="34"/>
  <c r="W734" i="34"/>
  <c r="W740" i="34"/>
  <c r="W743" i="34"/>
  <c r="W751" i="34"/>
  <c r="W754" i="34"/>
  <c r="W757" i="34"/>
  <c r="W776" i="34"/>
  <c r="X17" i="34"/>
  <c r="X19" i="34"/>
  <c r="X21" i="34"/>
  <c r="X26" i="34"/>
  <c r="X29" i="34"/>
  <c r="X32" i="34"/>
  <c r="X35" i="34"/>
  <c r="X36" i="34"/>
  <c r="X37" i="34"/>
  <c r="X43" i="34"/>
  <c r="X55" i="34"/>
  <c r="X59" i="34"/>
  <c r="X61" i="34"/>
  <c r="X62" i="34"/>
  <c r="X66" i="34"/>
  <c r="X68" i="34"/>
  <c r="X70" i="34"/>
  <c r="X74" i="34"/>
  <c r="X80" i="34"/>
  <c r="X82" i="34"/>
  <c r="X84" i="34"/>
  <c r="X87" i="34"/>
  <c r="X88" i="34"/>
  <c r="X101" i="34"/>
  <c r="X102" i="34"/>
  <c r="X103" i="34"/>
  <c r="X104" i="34"/>
  <c r="X108" i="34"/>
  <c r="X114" i="34"/>
  <c r="X119" i="34"/>
  <c r="X124" i="34"/>
  <c r="X125" i="34"/>
  <c r="X135" i="34"/>
  <c r="X140" i="34"/>
  <c r="X143" i="34"/>
  <c r="X148" i="34"/>
  <c r="X150" i="34"/>
  <c r="X152" i="34"/>
  <c r="X155" i="34"/>
  <c r="X157" i="34"/>
  <c r="X159" i="34"/>
  <c r="X161" i="34"/>
  <c r="X163" i="34"/>
  <c r="X167" i="34"/>
  <c r="X169" i="34"/>
  <c r="X171" i="34"/>
  <c r="X173" i="34"/>
  <c r="X176" i="34"/>
  <c r="X181" i="34"/>
  <c r="X183" i="34"/>
  <c r="X185" i="34"/>
  <c r="X189" i="34"/>
  <c r="X196" i="34"/>
  <c r="X198" i="34"/>
  <c r="X200" i="34"/>
  <c r="X204" i="34"/>
  <c r="X205" i="34"/>
  <c r="X206" i="34"/>
  <c r="X210" i="34"/>
  <c r="X214" i="34"/>
  <c r="X224" i="34"/>
  <c r="X227" i="34"/>
  <c r="X237" i="34"/>
  <c r="X240" i="34"/>
  <c r="X246" i="34"/>
  <c r="X249" i="34"/>
  <c r="X254" i="34"/>
  <c r="X261" i="34"/>
  <c r="X264" i="34"/>
  <c r="X267" i="34"/>
  <c r="X268" i="34"/>
  <c r="X275" i="34"/>
  <c r="X277" i="34"/>
  <c r="X286" i="34"/>
  <c r="X290" i="34"/>
  <c r="X293" i="34"/>
  <c r="X297" i="34"/>
  <c r="X299" i="34"/>
  <c r="X301" i="34"/>
  <c r="X305" i="34"/>
  <c r="X307" i="34"/>
  <c r="X308" i="34"/>
  <c r="X309" i="34"/>
  <c r="X325" i="34"/>
  <c r="X335" i="34"/>
  <c r="X338" i="34"/>
  <c r="X342" i="34"/>
  <c r="X346" i="34"/>
  <c r="X353" i="34"/>
  <c r="X355" i="34"/>
  <c r="X356" i="34"/>
  <c r="X357" i="34"/>
  <c r="X359" i="34"/>
  <c r="X364" i="34"/>
  <c r="X365" i="34"/>
  <c r="X369" i="34"/>
  <c r="X372" i="34"/>
  <c r="X373" i="34"/>
  <c r="X384" i="34"/>
  <c r="X388" i="34"/>
  <c r="X394" i="34"/>
  <c r="X396" i="34"/>
  <c r="X402" i="34"/>
  <c r="X407" i="34"/>
  <c r="X411" i="34"/>
  <c r="X412" i="34"/>
  <c r="X420" i="34"/>
  <c r="X421" i="34"/>
  <c r="X422" i="34"/>
  <c r="X423" i="34"/>
  <c r="X427" i="34"/>
  <c r="X430" i="34"/>
  <c r="X436" i="34"/>
  <c r="X437" i="34"/>
  <c r="X444" i="34"/>
  <c r="X447" i="34"/>
  <c r="X451" i="34"/>
  <c r="X454" i="34"/>
  <c r="X459" i="34"/>
  <c r="X463" i="34"/>
  <c r="X469" i="34"/>
  <c r="X477" i="34"/>
  <c r="X479" i="34"/>
  <c r="X480" i="34"/>
  <c r="X485" i="34"/>
  <c r="X486" i="34"/>
  <c r="X489" i="34"/>
  <c r="X497" i="34"/>
  <c r="X502" i="34"/>
  <c r="X511" i="34"/>
  <c r="X518" i="34"/>
  <c r="X527" i="34"/>
  <c r="X532" i="34"/>
  <c r="X537" i="34"/>
  <c r="X538" i="34"/>
  <c r="X545" i="34"/>
  <c r="X557" i="34"/>
  <c r="X560" i="34"/>
  <c r="X564" i="34"/>
  <c r="X566" i="34"/>
  <c r="X569" i="34"/>
  <c r="X577" i="34"/>
  <c r="X579" i="34"/>
  <c r="X586" i="34"/>
  <c r="X590" i="34"/>
  <c r="X592" i="34"/>
  <c r="X595" i="34"/>
  <c r="X600" i="34"/>
  <c r="X604" i="34"/>
  <c r="X611" i="34"/>
  <c r="X618" i="34"/>
  <c r="X626" i="34"/>
  <c r="X631" i="34"/>
  <c r="X634" i="34"/>
  <c r="X638" i="34"/>
  <c r="X644" i="34"/>
  <c r="X645" i="34"/>
  <c r="X649" i="34"/>
  <c r="X663" i="34"/>
  <c r="X675" i="34"/>
  <c r="X682" i="34"/>
  <c r="X687" i="34"/>
  <c r="X693" i="34"/>
  <c r="X700" i="34"/>
  <c r="X706" i="34"/>
  <c r="X712" i="34"/>
  <c r="X715" i="34"/>
  <c r="X717" i="34"/>
  <c r="X732" i="34"/>
  <c r="X734" i="34"/>
  <c r="X740" i="34"/>
  <c r="X743" i="34"/>
  <c r="X751" i="34"/>
  <c r="X754" i="34"/>
  <c r="X757" i="34"/>
  <c r="X776" i="34"/>
  <c r="Y17" i="34"/>
  <c r="Y19" i="34"/>
  <c r="Y21" i="34"/>
  <c r="Y26" i="34"/>
  <c r="Y29" i="34"/>
  <c r="Y32" i="34"/>
  <c r="Y35" i="34"/>
  <c r="Y36" i="34"/>
  <c r="Y37" i="34"/>
  <c r="Y43" i="34"/>
  <c r="Y55" i="34"/>
  <c r="Y59" i="34"/>
  <c r="Y61" i="34"/>
  <c r="Y62" i="34"/>
  <c r="Y66" i="34"/>
  <c r="Y68" i="34"/>
  <c r="Y70" i="34"/>
  <c r="Y74" i="34"/>
  <c r="Y80" i="34"/>
  <c r="Y82" i="34"/>
  <c r="Y84" i="34"/>
  <c r="Y87" i="34"/>
  <c r="Y88" i="34"/>
  <c r="Y101" i="34"/>
  <c r="Y102" i="34"/>
  <c r="Y103" i="34"/>
  <c r="Y104" i="34"/>
  <c r="Y108" i="34"/>
  <c r="Y114" i="34"/>
  <c r="Y119" i="34"/>
  <c r="Y124" i="34"/>
  <c r="Y125" i="34"/>
  <c r="Y135" i="34"/>
  <c r="Y140" i="34"/>
  <c r="Y143" i="34"/>
  <c r="Y148" i="34"/>
  <c r="Y150" i="34"/>
  <c r="Y152" i="34"/>
  <c r="Y155" i="34"/>
  <c r="Y157" i="34"/>
  <c r="Y159" i="34"/>
  <c r="Y161" i="34"/>
  <c r="Y163" i="34"/>
  <c r="Y167" i="34"/>
  <c r="Y169" i="34"/>
  <c r="Y171" i="34"/>
  <c r="Y173" i="34"/>
  <c r="Y176" i="34"/>
  <c r="Y181" i="34"/>
  <c r="Y183" i="34"/>
  <c r="Y185" i="34"/>
  <c r="Y189" i="34"/>
  <c r="Y196" i="34"/>
  <c r="Y198" i="34"/>
  <c r="Y200" i="34"/>
  <c r="Y204" i="34"/>
  <c r="Y205" i="34"/>
  <c r="Y206" i="34"/>
  <c r="Y210" i="34"/>
  <c r="Y214" i="34"/>
  <c r="Y224" i="34"/>
  <c r="Y227" i="34"/>
  <c r="Y237" i="34"/>
  <c r="Y240" i="34"/>
  <c r="Y246" i="34"/>
  <c r="Y249" i="34"/>
  <c r="Y254" i="34"/>
  <c r="Y261" i="34"/>
  <c r="Y264" i="34"/>
  <c r="Y267" i="34"/>
  <c r="Y268" i="34"/>
  <c r="Y275" i="34"/>
  <c r="Y277" i="34"/>
  <c r="Y286" i="34"/>
  <c r="Y290" i="34"/>
  <c r="Y293" i="34"/>
  <c r="Y297" i="34"/>
  <c r="Y299" i="34"/>
  <c r="Y301" i="34"/>
  <c r="Y305" i="34"/>
  <c r="Y307" i="34"/>
  <c r="Y308" i="34"/>
  <c r="Y309" i="34"/>
  <c r="Y325" i="34"/>
  <c r="Y335" i="34"/>
  <c r="Y338" i="34"/>
  <c r="Y342" i="34"/>
  <c r="Y346" i="34"/>
  <c r="Y353" i="34"/>
  <c r="Y355" i="34"/>
  <c r="Y356" i="34"/>
  <c r="Y357" i="34"/>
  <c r="Y359" i="34"/>
  <c r="Y364" i="34"/>
  <c r="Y365" i="34"/>
  <c r="Y369" i="34"/>
  <c r="Y372" i="34"/>
  <c r="Y373" i="34"/>
  <c r="Y384" i="34"/>
  <c r="Y388" i="34"/>
  <c r="Y394" i="34"/>
  <c r="Y396" i="34"/>
  <c r="Y402" i="34"/>
  <c r="Y407" i="34"/>
  <c r="Y411" i="34"/>
  <c r="Y412" i="34"/>
  <c r="Y420" i="34"/>
  <c r="Y421" i="34"/>
  <c r="Y422" i="34"/>
  <c r="Y423" i="34"/>
  <c r="Y427" i="34"/>
  <c r="Y430" i="34"/>
  <c r="Y436" i="34"/>
  <c r="Y437" i="34"/>
  <c r="Y444" i="34"/>
  <c r="Y447" i="34"/>
  <c r="Y451" i="34"/>
  <c r="Y454" i="34"/>
  <c r="Y459" i="34"/>
  <c r="Y463" i="34"/>
  <c r="Y469" i="34"/>
  <c r="Y477" i="34"/>
  <c r="Y479" i="34"/>
  <c r="Y480" i="34"/>
  <c r="Y485" i="34"/>
  <c r="Y486" i="34"/>
  <c r="Y489" i="34"/>
  <c r="Y497" i="34"/>
  <c r="Y502" i="34"/>
  <c r="Y511" i="34"/>
  <c r="Y518" i="34"/>
  <c r="Y527" i="34"/>
  <c r="Y532" i="34"/>
  <c r="Y537" i="34"/>
  <c r="Y538" i="34"/>
  <c r="Y545" i="34"/>
  <c r="Y557" i="34"/>
  <c r="Y560" i="34"/>
  <c r="Y564" i="34"/>
  <c r="Y566" i="34"/>
  <c r="Y569" i="34"/>
  <c r="Y577" i="34"/>
  <c r="Y579" i="34"/>
  <c r="Y586" i="34"/>
  <c r="Y590" i="34"/>
  <c r="Y592" i="34"/>
  <c r="Y595" i="34"/>
  <c r="Y600" i="34"/>
  <c r="Y604" i="34"/>
  <c r="Y611" i="34"/>
  <c r="Y618" i="34"/>
  <c r="Y626" i="34"/>
  <c r="Y631" i="34"/>
  <c r="Y634" i="34"/>
  <c r="Y638" i="34"/>
  <c r="Y644" i="34"/>
  <c r="Y645" i="34"/>
  <c r="Y649" i="34"/>
  <c r="Y663" i="34"/>
  <c r="Y675" i="34"/>
  <c r="Y682" i="34"/>
  <c r="Y687" i="34"/>
  <c r="Y693" i="34"/>
  <c r="Y700" i="34"/>
  <c r="Y706" i="34"/>
  <c r="Y712" i="34"/>
  <c r="Y715" i="34"/>
  <c r="Y717" i="34"/>
  <c r="Y732" i="34"/>
  <c r="Y734" i="34"/>
  <c r="Y740" i="34"/>
  <c r="Y743" i="34"/>
  <c r="Y751" i="34"/>
  <c r="Y754" i="34"/>
  <c r="Y757" i="34"/>
  <c r="Y776" i="34"/>
  <c r="Z17" i="34"/>
  <c r="Z19" i="34"/>
  <c r="Z21" i="34"/>
  <c r="Z26" i="34"/>
  <c r="Z29" i="34"/>
  <c r="Z32" i="34"/>
  <c r="Z35" i="34"/>
  <c r="Z36" i="34"/>
  <c r="Z37" i="34"/>
  <c r="Z43" i="34"/>
  <c r="Z55" i="34"/>
  <c r="Z59" i="34"/>
  <c r="Z61" i="34"/>
  <c r="Z62" i="34"/>
  <c r="Z66" i="34"/>
  <c r="Z68" i="34"/>
  <c r="Z70" i="34"/>
  <c r="Z74" i="34"/>
  <c r="Z80" i="34"/>
  <c r="Z82" i="34"/>
  <c r="Z84" i="34"/>
  <c r="Z87" i="34"/>
  <c r="Z88" i="34"/>
  <c r="Z101" i="34"/>
  <c r="Z102" i="34"/>
  <c r="Z103" i="34"/>
  <c r="Z104" i="34"/>
  <c r="Z108" i="34"/>
  <c r="Z114" i="34"/>
  <c r="Z119" i="34"/>
  <c r="Z124" i="34"/>
  <c r="Z125" i="34"/>
  <c r="Z135" i="34"/>
  <c r="Z140" i="34"/>
  <c r="Z143" i="34"/>
  <c r="Z148" i="34"/>
  <c r="Z150" i="34"/>
  <c r="Z152" i="34"/>
  <c r="Z155" i="34"/>
  <c r="Z157" i="34"/>
  <c r="Z159" i="34"/>
  <c r="Z161" i="34"/>
  <c r="Z163" i="34"/>
  <c r="Z167" i="34"/>
  <c r="Z169" i="34"/>
  <c r="Z171" i="34"/>
  <c r="Z173" i="34"/>
  <c r="Z176" i="34"/>
  <c r="Z181" i="34"/>
  <c r="Z183" i="34"/>
  <c r="Z185" i="34"/>
  <c r="Z189" i="34"/>
  <c r="Z196" i="34"/>
  <c r="Z198" i="34"/>
  <c r="Z200" i="34"/>
  <c r="Z204" i="34"/>
  <c r="Z205" i="34"/>
  <c r="Z206" i="34"/>
  <c r="Z210" i="34"/>
  <c r="Z214" i="34"/>
  <c r="Z224" i="34"/>
  <c r="Z227" i="34"/>
  <c r="Z237" i="34"/>
  <c r="Z240" i="34"/>
  <c r="Z246" i="34"/>
  <c r="Z249" i="34"/>
  <c r="Z254" i="34"/>
  <c r="Z261" i="34"/>
  <c r="Z264" i="34"/>
  <c r="Z267" i="34"/>
  <c r="Z268" i="34"/>
  <c r="Z275" i="34"/>
  <c r="Z277" i="34"/>
  <c r="Z286" i="34"/>
  <c r="Z290" i="34"/>
  <c r="Z293" i="34"/>
  <c r="Z297" i="34"/>
  <c r="Z299" i="34"/>
  <c r="Z301" i="34"/>
  <c r="Z305" i="34"/>
  <c r="Z307" i="34"/>
  <c r="Z308" i="34"/>
  <c r="Z309" i="34"/>
  <c r="Z325" i="34"/>
  <c r="Z335" i="34"/>
  <c r="Z338" i="34"/>
  <c r="Z342" i="34"/>
  <c r="Z346" i="34"/>
  <c r="Z353" i="34"/>
  <c r="Z355" i="34"/>
  <c r="Z356" i="34"/>
  <c r="Z357" i="34"/>
  <c r="Z359" i="34"/>
  <c r="Z364" i="34"/>
  <c r="Z365" i="34"/>
  <c r="Z369" i="34"/>
  <c r="Z372" i="34"/>
  <c r="Z373" i="34"/>
  <c r="Z384" i="34"/>
  <c r="Z388" i="34"/>
  <c r="Z394" i="34"/>
  <c r="Z396" i="34"/>
  <c r="Z402" i="34"/>
  <c r="Z407" i="34"/>
  <c r="Z411" i="34"/>
  <c r="Z412" i="34"/>
  <c r="Z420" i="34"/>
  <c r="Z421" i="34"/>
  <c r="Z422" i="34"/>
  <c r="Z423" i="34"/>
  <c r="Z427" i="34"/>
  <c r="Z430" i="34"/>
  <c r="Z436" i="34"/>
  <c r="Z437" i="34"/>
  <c r="Z444" i="34"/>
  <c r="Z447" i="34"/>
  <c r="Z451" i="34"/>
  <c r="Z454" i="34"/>
  <c r="Z459" i="34"/>
  <c r="Z463" i="34"/>
  <c r="Z469" i="34"/>
  <c r="Z477" i="34"/>
  <c r="Z479" i="34"/>
  <c r="Z480" i="34"/>
  <c r="Z485" i="34"/>
  <c r="Z486" i="34"/>
  <c r="Z489" i="34"/>
  <c r="Z497" i="34"/>
  <c r="Z502" i="34"/>
  <c r="Z511" i="34"/>
  <c r="Z518" i="34"/>
  <c r="Z527" i="34"/>
  <c r="Z532" i="34"/>
  <c r="Z537" i="34"/>
  <c r="Z538" i="34"/>
  <c r="Z545" i="34"/>
  <c r="Z557" i="34"/>
  <c r="Z560" i="34"/>
  <c r="Z564" i="34"/>
  <c r="Z566" i="34"/>
  <c r="Z569" i="34"/>
  <c r="Z577" i="34"/>
  <c r="Z579" i="34"/>
  <c r="Z586" i="34"/>
  <c r="Z590" i="34"/>
  <c r="Z592" i="34"/>
  <c r="Z595" i="34"/>
  <c r="Z600" i="34"/>
  <c r="Z604" i="34"/>
  <c r="Z611" i="34"/>
  <c r="Z618" i="34"/>
  <c r="Z626" i="34"/>
  <c r="Z631" i="34"/>
  <c r="Z634" i="34"/>
  <c r="Z638" i="34"/>
  <c r="Z644" i="34"/>
  <c r="Z645" i="34"/>
  <c r="Z649" i="34"/>
  <c r="Z663" i="34"/>
  <c r="Z675" i="34"/>
  <c r="Z682" i="34"/>
  <c r="Z687" i="34"/>
  <c r="Z693" i="34"/>
  <c r="Z700" i="34"/>
  <c r="Z706" i="34"/>
  <c r="Z712" i="34"/>
  <c r="Z715" i="34"/>
  <c r="Z717" i="34"/>
  <c r="Z732" i="34"/>
  <c r="Z734" i="34"/>
  <c r="Z740" i="34"/>
  <c r="Z743" i="34"/>
  <c r="Z751" i="34"/>
  <c r="Z754" i="34"/>
  <c r="Z757" i="34"/>
  <c r="Z776" i="34"/>
  <c r="AA17" i="34"/>
  <c r="AA19" i="34"/>
  <c r="AA21" i="34"/>
  <c r="AA26" i="34"/>
  <c r="AA29" i="34"/>
  <c r="AA32" i="34"/>
  <c r="AA35" i="34"/>
  <c r="AA36" i="34"/>
  <c r="AA37" i="34"/>
  <c r="AA43" i="34"/>
  <c r="AA55" i="34"/>
  <c r="AA59" i="34"/>
  <c r="AA61" i="34"/>
  <c r="AA62" i="34"/>
  <c r="AA66" i="34"/>
  <c r="AA68" i="34"/>
  <c r="AA70" i="34"/>
  <c r="AA74" i="34"/>
  <c r="AA80" i="34"/>
  <c r="AA82" i="34"/>
  <c r="AA84" i="34"/>
  <c r="AA87" i="34"/>
  <c r="AA88" i="34"/>
  <c r="AA101" i="34"/>
  <c r="AA102" i="34"/>
  <c r="AA103" i="34"/>
  <c r="AA104" i="34"/>
  <c r="AA108" i="34"/>
  <c r="AA114" i="34"/>
  <c r="AA119" i="34"/>
  <c r="AA124" i="34"/>
  <c r="AA125" i="34"/>
  <c r="AA135" i="34"/>
  <c r="AA140" i="34"/>
  <c r="AA143" i="34"/>
  <c r="AA148" i="34"/>
  <c r="AA150" i="34"/>
  <c r="AA152" i="34"/>
  <c r="AA155" i="34"/>
  <c r="AA157" i="34"/>
  <c r="AA159" i="34"/>
  <c r="AA161" i="34"/>
  <c r="AA163" i="34"/>
  <c r="AA167" i="34"/>
  <c r="AA169" i="34"/>
  <c r="AA171" i="34"/>
  <c r="AA173" i="34"/>
  <c r="AA176" i="34"/>
  <c r="AA181" i="34"/>
  <c r="AA183" i="34"/>
  <c r="AA185" i="34"/>
  <c r="AA189" i="34"/>
  <c r="AA196" i="34"/>
  <c r="AA198" i="34"/>
  <c r="AA200" i="34"/>
  <c r="AA204" i="34"/>
  <c r="AA205" i="34"/>
  <c r="AA206" i="34"/>
  <c r="AA210" i="34"/>
  <c r="AA214" i="34"/>
  <c r="AA224" i="34"/>
  <c r="AA227" i="34"/>
  <c r="AA237" i="34"/>
  <c r="AA240" i="34"/>
  <c r="AA246" i="34"/>
  <c r="AA249" i="34"/>
  <c r="AA254" i="34"/>
  <c r="AA261" i="34"/>
  <c r="AA264" i="34"/>
  <c r="AA267" i="34"/>
  <c r="AA268" i="34"/>
  <c r="AA275" i="34"/>
  <c r="AA277" i="34"/>
  <c r="AA286" i="34"/>
  <c r="AA290" i="34"/>
  <c r="AA293" i="34"/>
  <c r="AA297" i="34"/>
  <c r="AA299" i="34"/>
  <c r="AA301" i="34"/>
  <c r="AA305" i="34"/>
  <c r="AA307" i="34"/>
  <c r="AA308" i="34"/>
  <c r="AA309" i="34"/>
  <c r="AA325" i="34"/>
  <c r="AA335" i="34"/>
  <c r="AA338" i="34"/>
  <c r="AA342" i="34"/>
  <c r="AA346" i="34"/>
  <c r="AA353" i="34"/>
  <c r="AA355" i="34"/>
  <c r="AA356" i="34"/>
  <c r="AA357" i="34"/>
  <c r="AA359" i="34"/>
  <c r="AA364" i="34"/>
  <c r="AA365" i="34"/>
  <c r="AA369" i="34"/>
  <c r="AA372" i="34"/>
  <c r="AA373" i="34"/>
  <c r="AA384" i="34"/>
  <c r="AA388" i="34"/>
  <c r="AA394" i="34"/>
  <c r="AA396" i="34"/>
  <c r="AA402" i="34"/>
  <c r="AA407" i="34"/>
  <c r="AA411" i="34"/>
  <c r="AA412" i="34"/>
  <c r="AA420" i="34"/>
  <c r="AA421" i="34"/>
  <c r="AA422" i="34"/>
  <c r="AA423" i="34"/>
  <c r="AA427" i="34"/>
  <c r="AA430" i="34"/>
  <c r="AA436" i="34"/>
  <c r="AA437" i="34"/>
  <c r="AA444" i="34"/>
  <c r="AA447" i="34"/>
  <c r="AA451" i="34"/>
  <c r="AA454" i="34"/>
  <c r="AA459" i="34"/>
  <c r="AA463" i="34"/>
  <c r="AA469" i="34"/>
  <c r="AA477" i="34"/>
  <c r="AA479" i="34"/>
  <c r="AA480" i="34"/>
  <c r="AA485" i="34"/>
  <c r="AA486" i="34"/>
  <c r="AA489" i="34"/>
  <c r="AA497" i="34"/>
  <c r="AA502" i="34"/>
  <c r="AA511" i="34"/>
  <c r="AA518" i="34"/>
  <c r="AA527" i="34"/>
  <c r="AA532" i="34"/>
  <c r="AA537" i="34"/>
  <c r="AA538" i="34"/>
  <c r="AA545" i="34"/>
  <c r="AA557" i="34"/>
  <c r="AA560" i="34"/>
  <c r="AA564" i="34"/>
  <c r="AA566" i="34"/>
  <c r="AA569" i="34"/>
  <c r="AA577" i="34"/>
  <c r="AA579" i="34"/>
  <c r="AA586" i="34"/>
  <c r="AA590" i="34"/>
  <c r="AA592" i="34"/>
  <c r="AA595" i="34"/>
  <c r="AA600" i="34"/>
  <c r="AA604" i="34"/>
  <c r="AA611" i="34"/>
  <c r="AA618" i="34"/>
  <c r="AA626" i="34"/>
  <c r="AA631" i="34"/>
  <c r="AA634" i="34"/>
  <c r="AA638" i="34"/>
  <c r="AA644" i="34"/>
  <c r="AA645" i="34"/>
  <c r="AA649" i="34"/>
  <c r="AA663" i="34"/>
  <c r="AA675" i="34"/>
  <c r="AA682" i="34"/>
  <c r="AA687" i="34"/>
  <c r="AA693" i="34"/>
  <c r="AA700" i="34"/>
  <c r="AA706" i="34"/>
  <c r="AA712" i="34"/>
  <c r="AA715" i="34"/>
  <c r="AA717" i="34"/>
  <c r="AA732" i="34"/>
  <c r="AA734" i="34"/>
  <c r="AA740" i="34"/>
  <c r="AA743" i="34"/>
  <c r="AA751" i="34"/>
  <c r="AA754" i="34"/>
  <c r="AA757" i="34"/>
  <c r="AA776" i="34"/>
  <c r="AB17" i="34"/>
  <c r="AB19" i="34"/>
  <c r="AB21" i="34"/>
  <c r="AB26" i="34"/>
  <c r="AB29" i="34"/>
  <c r="AB32" i="34"/>
  <c r="AB35" i="34"/>
  <c r="AB36" i="34"/>
  <c r="AB37" i="34"/>
  <c r="AB43" i="34"/>
  <c r="AB55" i="34"/>
  <c r="AB59" i="34"/>
  <c r="AB61" i="34"/>
  <c r="AB62" i="34"/>
  <c r="AB66" i="34"/>
  <c r="AB68" i="34"/>
  <c r="AB70" i="34"/>
  <c r="AB74" i="34"/>
  <c r="AB80" i="34"/>
  <c r="AB82" i="34"/>
  <c r="AB84" i="34"/>
  <c r="AB87" i="34"/>
  <c r="AB88" i="34"/>
  <c r="AB101" i="34"/>
  <c r="AB102" i="34"/>
  <c r="AB103" i="34"/>
  <c r="AB104" i="34"/>
  <c r="AB108" i="34"/>
  <c r="AB114" i="34"/>
  <c r="AB119" i="34"/>
  <c r="AB124" i="34"/>
  <c r="AB125" i="34"/>
  <c r="AB135" i="34"/>
  <c r="AB140" i="34"/>
  <c r="AB143" i="34"/>
  <c r="AB148" i="34"/>
  <c r="AB150" i="34"/>
  <c r="AB152" i="34"/>
  <c r="AB155" i="34"/>
  <c r="AB157" i="34"/>
  <c r="AB159" i="34"/>
  <c r="AB161" i="34"/>
  <c r="AB163" i="34"/>
  <c r="AB167" i="34"/>
  <c r="AB169" i="34"/>
  <c r="AB171" i="34"/>
  <c r="AB173" i="34"/>
  <c r="AB176" i="34"/>
  <c r="AB181" i="34"/>
  <c r="AB183" i="34"/>
  <c r="AB185" i="34"/>
  <c r="AB189" i="34"/>
  <c r="AB196" i="34"/>
  <c r="AB198" i="34"/>
  <c r="AB200" i="34"/>
  <c r="AB204" i="34"/>
  <c r="AB205" i="34"/>
  <c r="AB206" i="34"/>
  <c r="AB210" i="34"/>
  <c r="AB214" i="34"/>
  <c r="AB224" i="34"/>
  <c r="AB227" i="34"/>
  <c r="AB237" i="34"/>
  <c r="AB240" i="34"/>
  <c r="AB246" i="34"/>
  <c r="AB249" i="34"/>
  <c r="AB254" i="34"/>
  <c r="AB261" i="34"/>
  <c r="AB264" i="34"/>
  <c r="AB267" i="34"/>
  <c r="AB268" i="34"/>
  <c r="AB275" i="34"/>
  <c r="AB277" i="34"/>
  <c r="AB286" i="34"/>
  <c r="AB290" i="34"/>
  <c r="AB293" i="34"/>
  <c r="AB297" i="34"/>
  <c r="AB299" i="34"/>
  <c r="AB301" i="34"/>
  <c r="AB305" i="34"/>
  <c r="AB307" i="34"/>
  <c r="AB308" i="34"/>
  <c r="AB309" i="34"/>
  <c r="AB325" i="34"/>
  <c r="AB335" i="34"/>
  <c r="AB338" i="34"/>
  <c r="AB342" i="34"/>
  <c r="AB346" i="34"/>
  <c r="AB353" i="34"/>
  <c r="AB355" i="34"/>
  <c r="AB356" i="34"/>
  <c r="AB357" i="34"/>
  <c r="AB359" i="34"/>
  <c r="AB364" i="34"/>
  <c r="AB365" i="34"/>
  <c r="AB369" i="34"/>
  <c r="AB372" i="34"/>
  <c r="AB373" i="34"/>
  <c r="AB384" i="34"/>
  <c r="AB388" i="34"/>
  <c r="AB394" i="34"/>
  <c r="AB396" i="34"/>
  <c r="AB402" i="34"/>
  <c r="AB407" i="34"/>
  <c r="AB411" i="34"/>
  <c r="AB412" i="34"/>
  <c r="AB420" i="34"/>
  <c r="AB421" i="34"/>
  <c r="AB422" i="34"/>
  <c r="AB423" i="34"/>
  <c r="AB427" i="34"/>
  <c r="AB430" i="34"/>
  <c r="AB436" i="34"/>
  <c r="AB437" i="34"/>
  <c r="AB444" i="34"/>
  <c r="AB447" i="34"/>
  <c r="AB451" i="34"/>
  <c r="AB454" i="34"/>
  <c r="AB459" i="34"/>
  <c r="AB463" i="34"/>
  <c r="AB469" i="34"/>
  <c r="AB477" i="34"/>
  <c r="AB479" i="34"/>
  <c r="AB480" i="34"/>
  <c r="AB485" i="34"/>
  <c r="AB486" i="34"/>
  <c r="AB489" i="34"/>
  <c r="AB497" i="34"/>
  <c r="AB502" i="34"/>
  <c r="AB511" i="34"/>
  <c r="AB518" i="34"/>
  <c r="AB527" i="34"/>
  <c r="AB532" i="34"/>
  <c r="AB537" i="34"/>
  <c r="AB538" i="34"/>
  <c r="AB545" i="34"/>
  <c r="AB557" i="34"/>
  <c r="AB560" i="34"/>
  <c r="AB564" i="34"/>
  <c r="AB566" i="34"/>
  <c r="AB569" i="34"/>
  <c r="AB577" i="34"/>
  <c r="AB579" i="34"/>
  <c r="AB586" i="34"/>
  <c r="AB590" i="34"/>
  <c r="AB592" i="34"/>
  <c r="AB595" i="34"/>
  <c r="AB600" i="34"/>
  <c r="AB604" i="34"/>
  <c r="AB611" i="34"/>
  <c r="AB618" i="34"/>
  <c r="AB626" i="34"/>
  <c r="AB631" i="34"/>
  <c r="AB634" i="34"/>
  <c r="AB638" i="34"/>
  <c r="AB644" i="34"/>
  <c r="AB645" i="34"/>
  <c r="AB649" i="34"/>
  <c r="AB663" i="34"/>
  <c r="AB675" i="34"/>
  <c r="AB682" i="34"/>
  <c r="AB687" i="34"/>
  <c r="AB693" i="34"/>
  <c r="AB700" i="34"/>
  <c r="AB706" i="34"/>
  <c r="AB712" i="34"/>
  <c r="AB715" i="34"/>
  <c r="AB717" i="34"/>
  <c r="AB732" i="34"/>
  <c r="AB734" i="34"/>
  <c r="AB740" i="34"/>
  <c r="AB743" i="34"/>
  <c r="AB751" i="34"/>
  <c r="AB754" i="34"/>
  <c r="AB757" i="34"/>
  <c r="AB776" i="34"/>
  <c r="AC17" i="34"/>
  <c r="AC19" i="34"/>
  <c r="AC21" i="34"/>
  <c r="AC26" i="34"/>
  <c r="AC29" i="34"/>
  <c r="AC32" i="34"/>
  <c r="AC35" i="34"/>
  <c r="AC36" i="34"/>
  <c r="AC37" i="34"/>
  <c r="AC43" i="34"/>
  <c r="AC55" i="34"/>
  <c r="AC59" i="34"/>
  <c r="AC61" i="34"/>
  <c r="AC62" i="34"/>
  <c r="AC66" i="34"/>
  <c r="AC68" i="34"/>
  <c r="AC70" i="34"/>
  <c r="AC74" i="34"/>
  <c r="AC80" i="34"/>
  <c r="AC82" i="34"/>
  <c r="AC84" i="34"/>
  <c r="AC87" i="34"/>
  <c r="AC88" i="34"/>
  <c r="AC101" i="34"/>
  <c r="AC102" i="34"/>
  <c r="AC103" i="34"/>
  <c r="AC104" i="34"/>
  <c r="AC108" i="34"/>
  <c r="AC114" i="34"/>
  <c r="AC119" i="34"/>
  <c r="AC124" i="34"/>
  <c r="AC125" i="34"/>
  <c r="AC135" i="34"/>
  <c r="AC140" i="34"/>
  <c r="AC143" i="34"/>
  <c r="AC148" i="34"/>
  <c r="AC150" i="34"/>
  <c r="AC152" i="34"/>
  <c r="AC155" i="34"/>
  <c r="AC157" i="34"/>
  <c r="AC159" i="34"/>
  <c r="AC161" i="34"/>
  <c r="AC163" i="34"/>
  <c r="AC167" i="34"/>
  <c r="AC169" i="34"/>
  <c r="AC171" i="34"/>
  <c r="AC173" i="34"/>
  <c r="AC176" i="34"/>
  <c r="AC181" i="34"/>
  <c r="AC183" i="34"/>
  <c r="AC185" i="34"/>
  <c r="AC189" i="34"/>
  <c r="AC196" i="34"/>
  <c r="AC198" i="34"/>
  <c r="AC200" i="34"/>
  <c r="AC204" i="34"/>
  <c r="AC205" i="34"/>
  <c r="AC206" i="34"/>
  <c r="AC210" i="34"/>
  <c r="AC214" i="34"/>
  <c r="AC224" i="34"/>
  <c r="AC227" i="34"/>
  <c r="AC237" i="34"/>
  <c r="AC240" i="34"/>
  <c r="AC246" i="34"/>
  <c r="AC249" i="34"/>
  <c r="AC254" i="34"/>
  <c r="AC261" i="34"/>
  <c r="AC264" i="34"/>
  <c r="AC267" i="34"/>
  <c r="AC268" i="34"/>
  <c r="AC275" i="34"/>
  <c r="AC277" i="34"/>
  <c r="AC286" i="34"/>
  <c r="AC290" i="34"/>
  <c r="AC293" i="34"/>
  <c r="AC297" i="34"/>
  <c r="AC299" i="34"/>
  <c r="AC301" i="34"/>
  <c r="AC305" i="34"/>
  <c r="AC307" i="34"/>
  <c r="AC308" i="34"/>
  <c r="AC309" i="34"/>
  <c r="AC325" i="34"/>
  <c r="AC335" i="34"/>
  <c r="AC338" i="34"/>
  <c r="AC342" i="34"/>
  <c r="AC346" i="34"/>
  <c r="AC353" i="34"/>
  <c r="AC355" i="34"/>
  <c r="AC356" i="34"/>
  <c r="AC357" i="34"/>
  <c r="AC359" i="34"/>
  <c r="AC364" i="34"/>
  <c r="AC365" i="34"/>
  <c r="AC369" i="34"/>
  <c r="AC372" i="34"/>
  <c r="AC373" i="34"/>
  <c r="AC384" i="34"/>
  <c r="AC388" i="34"/>
  <c r="AC394" i="34"/>
  <c r="AC396" i="34"/>
  <c r="AC402" i="34"/>
  <c r="AC407" i="34"/>
  <c r="AC411" i="34"/>
  <c r="AC412" i="34"/>
  <c r="AC420" i="34"/>
  <c r="AC421" i="34"/>
  <c r="AC422" i="34"/>
  <c r="AC423" i="34"/>
  <c r="AC427" i="34"/>
  <c r="AC430" i="34"/>
  <c r="AC436" i="34"/>
  <c r="AC437" i="34"/>
  <c r="AC444" i="34"/>
  <c r="AC447" i="34"/>
  <c r="AC451" i="34"/>
  <c r="AC454" i="34"/>
  <c r="AC459" i="34"/>
  <c r="AC463" i="34"/>
  <c r="AC469" i="34"/>
  <c r="AC477" i="34"/>
  <c r="AC479" i="34"/>
  <c r="AC480" i="34"/>
  <c r="AC485" i="34"/>
  <c r="AC486" i="34"/>
  <c r="AC489" i="34"/>
  <c r="AC497" i="34"/>
  <c r="AC502" i="34"/>
  <c r="AC511" i="34"/>
  <c r="AC518" i="34"/>
  <c r="AC527" i="34"/>
  <c r="AC532" i="34"/>
  <c r="AC537" i="34"/>
  <c r="AC538" i="34"/>
  <c r="AC545" i="34"/>
  <c r="AC557" i="34"/>
  <c r="AC560" i="34"/>
  <c r="AC564" i="34"/>
  <c r="AC566" i="34"/>
  <c r="AC569" i="34"/>
  <c r="AC577" i="34"/>
  <c r="AC579" i="34"/>
  <c r="AC586" i="34"/>
  <c r="AC590" i="34"/>
  <c r="AC592" i="34"/>
  <c r="AC595" i="34"/>
  <c r="AC600" i="34"/>
  <c r="AC604" i="34"/>
  <c r="AC611" i="34"/>
  <c r="AC618" i="34"/>
  <c r="AC626" i="34"/>
  <c r="AC631" i="34"/>
  <c r="AC634" i="34"/>
  <c r="AC638" i="34"/>
  <c r="AC644" i="34"/>
  <c r="AC645" i="34"/>
  <c r="AC649" i="34"/>
  <c r="AC663" i="34"/>
  <c r="AC675" i="34"/>
  <c r="AC682" i="34"/>
  <c r="AC687" i="34"/>
  <c r="AC693" i="34"/>
  <c r="AC700" i="34"/>
  <c r="AC706" i="34"/>
  <c r="AC712" i="34"/>
  <c r="AC715" i="34"/>
  <c r="AC717" i="34"/>
  <c r="AC732" i="34"/>
  <c r="AC734" i="34"/>
  <c r="AC740" i="34"/>
  <c r="AC743" i="34"/>
  <c r="AC751" i="34"/>
  <c r="AC754" i="34"/>
  <c r="AC757" i="34"/>
  <c r="AC776" i="34"/>
  <c r="AD17" i="34"/>
  <c r="AD19" i="34"/>
  <c r="AD21" i="34"/>
  <c r="AD26" i="34"/>
  <c r="AD29" i="34"/>
  <c r="AD32" i="34"/>
  <c r="AD35" i="34"/>
  <c r="AD36" i="34"/>
  <c r="AD37" i="34"/>
  <c r="AD43" i="34"/>
  <c r="AD55" i="34"/>
  <c r="AD59" i="34"/>
  <c r="AD61" i="34"/>
  <c r="AD62" i="34"/>
  <c r="AD66" i="34"/>
  <c r="AD68" i="34"/>
  <c r="AD70" i="34"/>
  <c r="AD74" i="34"/>
  <c r="AD80" i="34"/>
  <c r="AD82" i="34"/>
  <c r="AD84" i="34"/>
  <c r="AD87" i="34"/>
  <c r="AD88" i="34"/>
  <c r="AD101" i="34"/>
  <c r="AD102" i="34"/>
  <c r="AD103" i="34"/>
  <c r="AD104" i="34"/>
  <c r="AD108" i="34"/>
  <c r="AD114" i="34"/>
  <c r="AD119" i="34"/>
  <c r="AD124" i="34"/>
  <c r="AD125" i="34"/>
  <c r="AD135" i="34"/>
  <c r="AD140" i="34"/>
  <c r="AD143" i="34"/>
  <c r="AD148" i="34"/>
  <c r="AD150" i="34"/>
  <c r="AD152" i="34"/>
  <c r="AD155" i="34"/>
  <c r="AD157" i="34"/>
  <c r="AD159" i="34"/>
  <c r="AD161" i="34"/>
  <c r="AD163" i="34"/>
  <c r="AD167" i="34"/>
  <c r="AD169" i="34"/>
  <c r="AD171" i="34"/>
  <c r="AD173" i="34"/>
  <c r="AD176" i="34"/>
  <c r="AD181" i="34"/>
  <c r="AD183" i="34"/>
  <c r="AD185" i="34"/>
  <c r="AD189" i="34"/>
  <c r="AD196" i="34"/>
  <c r="AD198" i="34"/>
  <c r="AD200" i="34"/>
  <c r="AD204" i="34"/>
  <c r="AD205" i="34"/>
  <c r="AD206" i="34"/>
  <c r="AD210" i="34"/>
  <c r="AD214" i="34"/>
  <c r="AD224" i="34"/>
  <c r="AD227" i="34"/>
  <c r="AD237" i="34"/>
  <c r="AD240" i="34"/>
  <c r="AD246" i="34"/>
  <c r="AD249" i="34"/>
  <c r="AD254" i="34"/>
  <c r="AD261" i="34"/>
  <c r="AD264" i="34"/>
  <c r="AD267" i="34"/>
  <c r="AD268" i="34"/>
  <c r="AD275" i="34"/>
  <c r="AD277" i="34"/>
  <c r="AD286" i="34"/>
  <c r="AD290" i="34"/>
  <c r="AD293" i="34"/>
  <c r="AD297" i="34"/>
  <c r="AD299" i="34"/>
  <c r="AD301" i="34"/>
  <c r="AD305" i="34"/>
  <c r="AD307" i="34"/>
  <c r="AD308" i="34"/>
  <c r="AD309" i="34"/>
  <c r="AD325" i="34"/>
  <c r="AD335" i="34"/>
  <c r="AD338" i="34"/>
  <c r="AD342" i="34"/>
  <c r="AD346" i="34"/>
  <c r="AD353" i="34"/>
  <c r="AD355" i="34"/>
  <c r="AD356" i="34"/>
  <c r="AD357" i="34"/>
  <c r="AD359" i="34"/>
  <c r="AD364" i="34"/>
  <c r="AD365" i="34"/>
  <c r="AD369" i="34"/>
  <c r="AD372" i="34"/>
  <c r="AD373" i="34"/>
  <c r="AD384" i="34"/>
  <c r="AD388" i="34"/>
  <c r="AD394" i="34"/>
  <c r="AD396" i="34"/>
  <c r="AD402" i="34"/>
  <c r="AD407" i="34"/>
  <c r="AD411" i="34"/>
  <c r="AD412" i="34"/>
  <c r="AD420" i="34"/>
  <c r="AD421" i="34"/>
  <c r="AD422" i="34"/>
  <c r="AD423" i="34"/>
  <c r="AD427" i="34"/>
  <c r="AD430" i="34"/>
  <c r="AD436" i="34"/>
  <c r="AD437" i="34"/>
  <c r="AD444" i="34"/>
  <c r="AD447" i="34"/>
  <c r="AD451" i="34"/>
  <c r="AD454" i="34"/>
  <c r="AD459" i="34"/>
  <c r="AD463" i="34"/>
  <c r="AD469" i="34"/>
  <c r="AD477" i="34"/>
  <c r="AD479" i="34"/>
  <c r="AD480" i="34"/>
  <c r="AD485" i="34"/>
  <c r="AD486" i="34"/>
  <c r="AD489" i="34"/>
  <c r="AD497" i="34"/>
  <c r="AD502" i="34"/>
  <c r="AD511" i="34"/>
  <c r="AD518" i="34"/>
  <c r="AD527" i="34"/>
  <c r="AD532" i="34"/>
  <c r="AD537" i="34"/>
  <c r="AD538" i="34"/>
  <c r="AD545" i="34"/>
  <c r="AD557" i="34"/>
  <c r="AD560" i="34"/>
  <c r="AD564" i="34"/>
  <c r="AD566" i="34"/>
  <c r="AD569" i="34"/>
  <c r="AD577" i="34"/>
  <c r="AD579" i="34"/>
  <c r="AD586" i="34"/>
  <c r="AD590" i="34"/>
  <c r="AD592" i="34"/>
  <c r="AD595" i="34"/>
  <c r="AD600" i="34"/>
  <c r="AD604" i="34"/>
  <c r="AD611" i="34"/>
  <c r="AD618" i="34"/>
  <c r="AD626" i="34"/>
  <c r="AD631" i="34"/>
  <c r="AD634" i="34"/>
  <c r="AD638" i="34"/>
  <c r="AD644" i="34"/>
  <c r="AD645" i="34"/>
  <c r="AD649" i="34"/>
  <c r="AD663" i="34"/>
  <c r="AD675" i="34"/>
  <c r="AD682" i="34"/>
  <c r="AD687" i="34"/>
  <c r="AD693" i="34"/>
  <c r="AD700" i="34"/>
  <c r="AD706" i="34"/>
  <c r="AD712" i="34"/>
  <c r="AD715" i="34"/>
  <c r="AD717" i="34"/>
  <c r="AD732" i="34"/>
  <c r="AD734" i="34"/>
  <c r="AD740" i="34"/>
  <c r="AD743" i="34"/>
  <c r="AD751" i="34"/>
  <c r="AD754" i="34"/>
  <c r="AD757" i="34"/>
  <c r="AD776" i="34"/>
  <c r="AE17" i="34"/>
  <c r="AE19" i="34"/>
  <c r="AE21" i="34"/>
  <c r="AE26" i="34"/>
  <c r="AE29" i="34"/>
  <c r="AE32" i="34"/>
  <c r="AE35" i="34"/>
  <c r="AE36" i="34"/>
  <c r="AE37" i="34"/>
  <c r="AE43" i="34"/>
  <c r="AE55" i="34"/>
  <c r="AE59" i="34"/>
  <c r="AE61" i="34"/>
  <c r="AE62" i="34"/>
  <c r="AE66" i="34"/>
  <c r="AE68" i="34"/>
  <c r="AE70" i="34"/>
  <c r="AE74" i="34"/>
  <c r="AE80" i="34"/>
  <c r="AE82" i="34"/>
  <c r="AE84" i="34"/>
  <c r="AE87" i="34"/>
  <c r="AE88" i="34"/>
  <c r="AE101" i="34"/>
  <c r="AE102" i="34"/>
  <c r="AE103" i="34"/>
  <c r="AE104" i="34"/>
  <c r="AE108" i="34"/>
  <c r="AE114" i="34"/>
  <c r="AE119" i="34"/>
  <c r="AE124" i="34"/>
  <c r="AE125" i="34"/>
  <c r="AE135" i="34"/>
  <c r="AE140" i="34"/>
  <c r="AE143" i="34"/>
  <c r="AE148" i="34"/>
  <c r="AE150" i="34"/>
  <c r="AE152" i="34"/>
  <c r="AE155" i="34"/>
  <c r="AE157" i="34"/>
  <c r="AE159" i="34"/>
  <c r="AE161" i="34"/>
  <c r="AE163" i="34"/>
  <c r="AE167" i="34"/>
  <c r="AE169" i="34"/>
  <c r="AE171" i="34"/>
  <c r="AE173" i="34"/>
  <c r="AE176" i="34"/>
  <c r="AE181" i="34"/>
  <c r="AE183" i="34"/>
  <c r="AE185" i="34"/>
  <c r="AE189" i="34"/>
  <c r="AE196" i="34"/>
  <c r="AE198" i="34"/>
  <c r="AE200" i="34"/>
  <c r="AE204" i="34"/>
  <c r="AE205" i="34"/>
  <c r="AE206" i="34"/>
  <c r="AE210" i="34"/>
  <c r="AE214" i="34"/>
  <c r="AE224" i="34"/>
  <c r="AE227" i="34"/>
  <c r="AE237" i="34"/>
  <c r="AE240" i="34"/>
  <c r="AE246" i="34"/>
  <c r="AE249" i="34"/>
  <c r="AE254" i="34"/>
  <c r="AE261" i="34"/>
  <c r="AE264" i="34"/>
  <c r="AE267" i="34"/>
  <c r="AE268" i="34"/>
  <c r="AE275" i="34"/>
  <c r="AE277" i="34"/>
  <c r="AE286" i="34"/>
  <c r="AE290" i="34"/>
  <c r="AE293" i="34"/>
  <c r="AE297" i="34"/>
  <c r="AE299" i="34"/>
  <c r="AE301" i="34"/>
  <c r="AE305" i="34"/>
  <c r="AE307" i="34"/>
  <c r="AE308" i="34"/>
  <c r="AE309" i="34"/>
  <c r="AE325" i="34"/>
  <c r="AE335" i="34"/>
  <c r="AE338" i="34"/>
  <c r="AE342" i="34"/>
  <c r="AE346" i="34"/>
  <c r="AE353" i="34"/>
  <c r="AE355" i="34"/>
  <c r="AE356" i="34"/>
  <c r="AE357" i="34"/>
  <c r="AE359" i="34"/>
  <c r="AE364" i="34"/>
  <c r="AE365" i="34"/>
  <c r="AE369" i="34"/>
  <c r="AE372" i="34"/>
  <c r="AE373" i="34"/>
  <c r="AE384" i="34"/>
  <c r="AE388" i="34"/>
  <c r="AE394" i="34"/>
  <c r="AE396" i="34"/>
  <c r="AE402" i="34"/>
  <c r="AE407" i="34"/>
  <c r="AE411" i="34"/>
  <c r="AE412" i="34"/>
  <c r="AE420" i="34"/>
  <c r="AE421" i="34"/>
  <c r="AE422" i="34"/>
  <c r="AE423" i="34"/>
  <c r="AE427" i="34"/>
  <c r="AE430" i="34"/>
  <c r="AE436" i="34"/>
  <c r="AE437" i="34"/>
  <c r="AE444" i="34"/>
  <c r="AE447" i="34"/>
  <c r="AE451" i="34"/>
  <c r="AE454" i="34"/>
  <c r="AE459" i="34"/>
  <c r="AE463" i="34"/>
  <c r="AE469" i="34"/>
  <c r="AE477" i="34"/>
  <c r="AE479" i="34"/>
  <c r="AE480" i="34"/>
  <c r="AE485" i="34"/>
  <c r="AE486" i="34"/>
  <c r="AE489" i="34"/>
  <c r="AE497" i="34"/>
  <c r="AE502" i="34"/>
  <c r="AE511" i="34"/>
  <c r="AE518" i="34"/>
  <c r="AE527" i="34"/>
  <c r="AE532" i="34"/>
  <c r="AE537" i="34"/>
  <c r="AE538" i="34"/>
  <c r="AE545" i="34"/>
  <c r="AE557" i="34"/>
  <c r="AE560" i="34"/>
  <c r="AE564" i="34"/>
  <c r="AE566" i="34"/>
  <c r="AE569" i="34"/>
  <c r="AE577" i="34"/>
  <c r="AE579" i="34"/>
  <c r="AE586" i="34"/>
  <c r="AE590" i="34"/>
  <c r="AE592" i="34"/>
  <c r="AE595" i="34"/>
  <c r="AE600" i="34"/>
  <c r="AE604" i="34"/>
  <c r="AE611" i="34"/>
  <c r="AE618" i="34"/>
  <c r="AE626" i="34"/>
  <c r="AE631" i="34"/>
  <c r="AE634" i="34"/>
  <c r="AE638" i="34"/>
  <c r="AE644" i="34"/>
  <c r="AE645" i="34"/>
  <c r="AE649" i="34"/>
  <c r="AE663" i="34"/>
  <c r="AE675" i="34"/>
  <c r="AE682" i="34"/>
  <c r="AE687" i="34"/>
  <c r="AE693" i="34"/>
  <c r="AE700" i="34"/>
  <c r="AE706" i="34"/>
  <c r="AE712" i="34"/>
  <c r="AE715" i="34"/>
  <c r="AE717" i="34"/>
  <c r="AE732" i="34"/>
  <c r="AE734" i="34"/>
  <c r="AE740" i="34"/>
  <c r="AE743" i="34"/>
  <c r="AE751" i="34"/>
  <c r="AE754" i="34"/>
  <c r="AE757" i="34"/>
  <c r="AE776" i="34"/>
  <c r="AF17" i="34"/>
  <c r="AF19" i="34"/>
  <c r="AF21" i="34"/>
  <c r="AF26" i="34"/>
  <c r="AF29" i="34"/>
  <c r="AF32" i="34"/>
  <c r="AF35" i="34"/>
  <c r="AF36" i="34"/>
  <c r="AF37" i="34"/>
  <c r="AF43" i="34"/>
  <c r="AF55" i="34"/>
  <c r="AF59" i="34"/>
  <c r="AF61" i="34"/>
  <c r="AF62" i="34"/>
  <c r="AF66" i="34"/>
  <c r="AF68" i="34"/>
  <c r="AF70" i="34"/>
  <c r="AF74" i="34"/>
  <c r="AF80" i="34"/>
  <c r="AF82" i="34"/>
  <c r="AF84" i="34"/>
  <c r="AF87" i="34"/>
  <c r="AF88" i="34"/>
  <c r="AF101" i="34"/>
  <c r="AF102" i="34"/>
  <c r="AF103" i="34"/>
  <c r="AF104" i="34"/>
  <c r="AF108" i="34"/>
  <c r="AF114" i="34"/>
  <c r="AF119" i="34"/>
  <c r="AF124" i="34"/>
  <c r="AF125" i="34"/>
  <c r="AF135" i="34"/>
  <c r="AF140" i="34"/>
  <c r="AF143" i="34"/>
  <c r="AF148" i="34"/>
  <c r="AF150" i="34"/>
  <c r="AF152" i="34"/>
  <c r="AF155" i="34"/>
  <c r="AF157" i="34"/>
  <c r="AF159" i="34"/>
  <c r="AF161" i="34"/>
  <c r="AF163" i="34"/>
  <c r="AF167" i="34"/>
  <c r="AF169" i="34"/>
  <c r="AF171" i="34"/>
  <c r="AF173" i="34"/>
  <c r="AF176" i="34"/>
  <c r="AF181" i="34"/>
  <c r="AF183" i="34"/>
  <c r="AF185" i="34"/>
  <c r="AF189" i="34"/>
  <c r="AF196" i="34"/>
  <c r="AF198" i="34"/>
  <c r="AF200" i="34"/>
  <c r="AF204" i="34"/>
  <c r="AF205" i="34"/>
  <c r="AF206" i="34"/>
  <c r="AF210" i="34"/>
  <c r="AF214" i="34"/>
  <c r="AF224" i="34"/>
  <c r="AF227" i="34"/>
  <c r="AF237" i="34"/>
  <c r="AF240" i="34"/>
  <c r="AF246" i="34"/>
  <c r="AF249" i="34"/>
  <c r="AF254" i="34"/>
  <c r="AF261" i="34"/>
  <c r="AF264" i="34"/>
  <c r="AF267" i="34"/>
  <c r="AF268" i="34"/>
  <c r="AF275" i="34"/>
  <c r="AF277" i="34"/>
  <c r="AF286" i="34"/>
  <c r="AF290" i="34"/>
  <c r="AF293" i="34"/>
  <c r="AF297" i="34"/>
  <c r="AF299" i="34"/>
  <c r="AF301" i="34"/>
  <c r="AF305" i="34"/>
  <c r="AF307" i="34"/>
  <c r="AF308" i="34"/>
  <c r="AF309" i="34"/>
  <c r="AF325" i="34"/>
  <c r="AF335" i="34"/>
  <c r="AF338" i="34"/>
  <c r="AF342" i="34"/>
  <c r="AF346" i="34"/>
  <c r="AF353" i="34"/>
  <c r="AF355" i="34"/>
  <c r="AF356" i="34"/>
  <c r="AF357" i="34"/>
  <c r="AF359" i="34"/>
  <c r="AF364" i="34"/>
  <c r="AF365" i="34"/>
  <c r="AF369" i="34"/>
  <c r="AF372" i="34"/>
  <c r="AF373" i="34"/>
  <c r="AF384" i="34"/>
  <c r="AF388" i="34"/>
  <c r="AF394" i="34"/>
  <c r="AF396" i="34"/>
  <c r="AF402" i="34"/>
  <c r="AF407" i="34"/>
  <c r="AF411" i="34"/>
  <c r="AF412" i="34"/>
  <c r="AF420" i="34"/>
  <c r="AF421" i="34"/>
  <c r="AF422" i="34"/>
  <c r="AF423" i="34"/>
  <c r="AF427" i="34"/>
  <c r="AF430" i="34"/>
  <c r="AF436" i="34"/>
  <c r="AF437" i="34"/>
  <c r="AF444" i="34"/>
  <c r="AF447" i="34"/>
  <c r="AF451" i="34"/>
  <c r="AF454" i="34"/>
  <c r="AF459" i="34"/>
  <c r="AF463" i="34"/>
  <c r="AF469" i="34"/>
  <c r="AF477" i="34"/>
  <c r="AF479" i="34"/>
  <c r="AF480" i="34"/>
  <c r="AF485" i="34"/>
  <c r="AF486" i="34"/>
  <c r="AF489" i="34"/>
  <c r="AF497" i="34"/>
  <c r="AF502" i="34"/>
  <c r="AF511" i="34"/>
  <c r="AF518" i="34"/>
  <c r="AF527" i="34"/>
  <c r="AF532" i="34"/>
  <c r="AF537" i="34"/>
  <c r="AF538" i="34"/>
  <c r="AF545" i="34"/>
  <c r="AF557" i="34"/>
  <c r="AF560" i="34"/>
  <c r="AF564" i="34"/>
  <c r="AF566" i="34"/>
  <c r="AF569" i="34"/>
  <c r="AF577" i="34"/>
  <c r="AF579" i="34"/>
  <c r="AF586" i="34"/>
  <c r="AF590" i="34"/>
  <c r="AF592" i="34"/>
  <c r="AF595" i="34"/>
  <c r="AF600" i="34"/>
  <c r="AF604" i="34"/>
  <c r="AF611" i="34"/>
  <c r="AF618" i="34"/>
  <c r="AF626" i="34"/>
  <c r="AF631" i="34"/>
  <c r="AF634" i="34"/>
  <c r="AF638" i="34"/>
  <c r="AF644" i="34"/>
  <c r="AF645" i="34"/>
  <c r="AF649" i="34"/>
  <c r="AF663" i="34"/>
  <c r="AF675" i="34"/>
  <c r="AF682" i="34"/>
  <c r="AF687" i="34"/>
  <c r="AF693" i="34"/>
  <c r="AF700" i="34"/>
  <c r="AF706" i="34"/>
  <c r="AF712" i="34"/>
  <c r="AF715" i="34"/>
  <c r="AF717" i="34"/>
  <c r="AF732" i="34"/>
  <c r="AF734" i="34"/>
  <c r="AF740" i="34"/>
  <c r="AF743" i="34"/>
  <c r="AF751" i="34"/>
  <c r="AF754" i="34"/>
  <c r="AF757" i="34"/>
  <c r="AF776" i="34"/>
  <c r="AG17" i="34"/>
  <c r="AG19" i="34"/>
  <c r="AG21" i="34"/>
  <c r="AG26" i="34"/>
  <c r="AG29" i="34"/>
  <c r="AG32" i="34"/>
  <c r="AG35" i="34"/>
  <c r="AG36" i="34"/>
  <c r="AG37" i="34"/>
  <c r="AG43" i="34"/>
  <c r="AG55" i="34"/>
  <c r="AG59" i="34"/>
  <c r="AG61" i="34"/>
  <c r="AG62" i="34"/>
  <c r="AG66" i="34"/>
  <c r="AG68" i="34"/>
  <c r="AG70" i="34"/>
  <c r="AG74" i="34"/>
  <c r="AG80" i="34"/>
  <c r="AG82" i="34"/>
  <c r="AG84" i="34"/>
  <c r="AG87" i="34"/>
  <c r="AG88" i="34"/>
  <c r="AG101" i="34"/>
  <c r="AG102" i="34"/>
  <c r="AG103" i="34"/>
  <c r="AG104" i="34"/>
  <c r="AG108" i="34"/>
  <c r="AG114" i="34"/>
  <c r="AG119" i="34"/>
  <c r="AG124" i="34"/>
  <c r="AG125" i="34"/>
  <c r="AG135" i="34"/>
  <c r="AG140" i="34"/>
  <c r="AG143" i="34"/>
  <c r="AG148" i="34"/>
  <c r="AG150" i="34"/>
  <c r="AG152" i="34"/>
  <c r="AG155" i="34"/>
  <c r="AG157" i="34"/>
  <c r="AG159" i="34"/>
  <c r="AG161" i="34"/>
  <c r="AG163" i="34"/>
  <c r="AG167" i="34"/>
  <c r="AG169" i="34"/>
  <c r="AG171" i="34"/>
  <c r="AG173" i="34"/>
  <c r="AG176" i="34"/>
  <c r="AG181" i="34"/>
  <c r="AG183" i="34"/>
  <c r="AG185" i="34"/>
  <c r="AG189" i="34"/>
  <c r="AG196" i="34"/>
  <c r="AG198" i="34"/>
  <c r="AG200" i="34"/>
  <c r="AG204" i="34"/>
  <c r="AG205" i="34"/>
  <c r="AG206" i="34"/>
  <c r="AG210" i="34"/>
  <c r="AG214" i="34"/>
  <c r="AG224" i="34"/>
  <c r="AG227" i="34"/>
  <c r="AG237" i="34"/>
  <c r="AG240" i="34"/>
  <c r="AG246" i="34"/>
  <c r="AG249" i="34"/>
  <c r="AG254" i="34"/>
  <c r="AG261" i="34"/>
  <c r="AG264" i="34"/>
  <c r="AG267" i="34"/>
  <c r="AG268" i="34"/>
  <c r="AG275" i="34"/>
  <c r="AG277" i="34"/>
  <c r="AG286" i="34"/>
  <c r="AG290" i="34"/>
  <c r="AG293" i="34"/>
  <c r="AG297" i="34"/>
  <c r="AG299" i="34"/>
  <c r="AG301" i="34"/>
  <c r="AG305" i="34"/>
  <c r="AG307" i="34"/>
  <c r="AG308" i="34"/>
  <c r="AG309" i="34"/>
  <c r="AG325" i="34"/>
  <c r="AG335" i="34"/>
  <c r="AG338" i="34"/>
  <c r="AG342" i="34"/>
  <c r="AG346" i="34"/>
  <c r="AG353" i="34"/>
  <c r="AG355" i="34"/>
  <c r="AG356" i="34"/>
  <c r="AG357" i="34"/>
  <c r="AG359" i="34"/>
  <c r="AG364" i="34"/>
  <c r="AG365" i="34"/>
  <c r="AG369" i="34"/>
  <c r="AG372" i="34"/>
  <c r="AG373" i="34"/>
  <c r="AG384" i="34"/>
  <c r="AG388" i="34"/>
  <c r="AG394" i="34"/>
  <c r="AG396" i="34"/>
  <c r="AG402" i="34"/>
  <c r="AG407" i="34"/>
  <c r="AG411" i="34"/>
  <c r="AG412" i="34"/>
  <c r="AG420" i="34"/>
  <c r="AG421" i="34"/>
  <c r="AG422" i="34"/>
  <c r="AG423" i="34"/>
  <c r="AG427" i="34"/>
  <c r="AG430" i="34"/>
  <c r="AG436" i="34"/>
  <c r="AG437" i="34"/>
  <c r="AG444" i="34"/>
  <c r="AG447" i="34"/>
  <c r="AG451" i="34"/>
  <c r="AG454" i="34"/>
  <c r="AG459" i="34"/>
  <c r="AG463" i="34"/>
  <c r="AG469" i="34"/>
  <c r="AG477" i="34"/>
  <c r="AG479" i="34"/>
  <c r="AG480" i="34"/>
  <c r="AG485" i="34"/>
  <c r="AG486" i="34"/>
  <c r="AG489" i="34"/>
  <c r="AG497" i="34"/>
  <c r="AG502" i="34"/>
  <c r="AG511" i="34"/>
  <c r="AG518" i="34"/>
  <c r="AG527" i="34"/>
  <c r="AG532" i="34"/>
  <c r="AG537" i="34"/>
  <c r="AG538" i="34"/>
  <c r="AG545" i="34"/>
  <c r="AG557" i="34"/>
  <c r="AG560" i="34"/>
  <c r="AG564" i="34"/>
  <c r="AG566" i="34"/>
  <c r="AG569" i="34"/>
  <c r="AG577" i="34"/>
  <c r="AG579" i="34"/>
  <c r="AG586" i="34"/>
  <c r="AG590" i="34"/>
  <c r="AG592" i="34"/>
  <c r="AG595" i="34"/>
  <c r="AG600" i="34"/>
  <c r="AG604" i="34"/>
  <c r="AG611" i="34"/>
  <c r="AG618" i="34"/>
  <c r="AG626" i="34"/>
  <c r="AG631" i="34"/>
  <c r="AG634" i="34"/>
  <c r="AG638" i="34"/>
  <c r="AG644" i="34"/>
  <c r="AG645" i="34"/>
  <c r="AG649" i="34"/>
  <c r="AG663" i="34"/>
  <c r="AG675" i="34"/>
  <c r="AG682" i="34"/>
  <c r="AG687" i="34"/>
  <c r="AG693" i="34"/>
  <c r="AG700" i="34"/>
  <c r="AG706" i="34"/>
  <c r="AG712" i="34"/>
  <c r="AG715" i="34"/>
  <c r="AG717" i="34"/>
  <c r="AG732" i="34"/>
  <c r="AG734" i="34"/>
  <c r="AG740" i="34"/>
  <c r="AG743" i="34"/>
  <c r="AG751" i="34"/>
  <c r="AG754" i="34"/>
  <c r="AG757" i="34"/>
  <c r="AG776" i="34"/>
  <c r="D18" i="34"/>
  <c r="D22" i="34"/>
  <c r="D27" i="34"/>
  <c r="D31" i="34"/>
  <c r="D34" i="34"/>
  <c r="D48" i="34"/>
  <c r="D81" i="34"/>
  <c r="D93" i="34"/>
  <c r="D99" i="34"/>
  <c r="D117" i="34"/>
  <c r="D134" i="34"/>
  <c r="D170" i="34"/>
  <c r="D178" i="34"/>
  <c r="D188" i="34"/>
  <c r="D193" i="34"/>
  <c r="D225" i="34"/>
  <c r="D230" i="34"/>
  <c r="D234" i="34"/>
  <c r="D238" i="34"/>
  <c r="D242" i="34"/>
  <c r="D260" i="34"/>
  <c r="D265" i="34"/>
  <c r="D280" i="34"/>
  <c r="D294" i="34"/>
  <c r="D328" i="34"/>
  <c r="D337" i="34"/>
  <c r="D340" i="34"/>
  <c r="D375" i="34"/>
  <c r="D399" i="34"/>
  <c r="D413" i="34"/>
  <c r="D425" i="34"/>
  <c r="D434" i="34"/>
  <c r="D460" i="34"/>
  <c r="D472" i="34"/>
  <c r="D501" i="34"/>
  <c r="D519" i="34"/>
  <c r="D536" i="34"/>
  <c r="D543" i="34"/>
  <c r="D544" i="34"/>
  <c r="D549" i="34"/>
  <c r="D556" i="34"/>
  <c r="D561" i="34"/>
  <c r="D580" i="34"/>
  <c r="D589" i="34"/>
  <c r="D620" i="34"/>
  <c r="D629" i="34"/>
  <c r="D635" i="34"/>
  <c r="D640" i="34"/>
  <c r="D648" i="34"/>
  <c r="D650" i="34"/>
  <c r="D651" i="34"/>
  <c r="D655" i="34"/>
  <c r="D679" i="34"/>
  <c r="D699" i="34"/>
  <c r="D701" i="34"/>
  <c r="D705" i="34"/>
  <c r="D713" i="34"/>
  <c r="D718" i="34"/>
  <c r="D758" i="34"/>
  <c r="D763" i="34"/>
  <c r="D768" i="34"/>
  <c r="D775" i="34"/>
  <c r="O18" i="34"/>
  <c r="O22" i="34"/>
  <c r="O27" i="34"/>
  <c r="O31" i="34"/>
  <c r="O34" i="34"/>
  <c r="O48" i="34"/>
  <c r="O81" i="34"/>
  <c r="O93" i="34"/>
  <c r="O99" i="34"/>
  <c r="O117" i="34"/>
  <c r="O134" i="34"/>
  <c r="O170" i="34"/>
  <c r="O178" i="34"/>
  <c r="O188" i="34"/>
  <c r="O193" i="34"/>
  <c r="O225" i="34"/>
  <c r="O230" i="34"/>
  <c r="O234" i="34"/>
  <c r="O238" i="34"/>
  <c r="O242" i="34"/>
  <c r="O260" i="34"/>
  <c r="O265" i="34"/>
  <c r="O280" i="34"/>
  <c r="O294" i="34"/>
  <c r="O328" i="34"/>
  <c r="O337" i="34"/>
  <c r="O340" i="34"/>
  <c r="O375" i="34"/>
  <c r="O399" i="34"/>
  <c r="O413" i="34"/>
  <c r="O425" i="34"/>
  <c r="O434" i="34"/>
  <c r="O460" i="34"/>
  <c r="O472" i="34"/>
  <c r="O501" i="34"/>
  <c r="O519" i="34"/>
  <c r="O536" i="34"/>
  <c r="O543" i="34"/>
  <c r="O544" i="34"/>
  <c r="O549" i="34"/>
  <c r="O556" i="34"/>
  <c r="O561" i="34"/>
  <c r="O580" i="34"/>
  <c r="O589" i="34"/>
  <c r="O620" i="34"/>
  <c r="O629" i="34"/>
  <c r="O635" i="34"/>
  <c r="O640" i="34"/>
  <c r="O648" i="34"/>
  <c r="O650" i="34"/>
  <c r="O651" i="34"/>
  <c r="O655" i="34"/>
  <c r="O679" i="34"/>
  <c r="O699" i="34"/>
  <c r="O701" i="34"/>
  <c r="O705" i="34"/>
  <c r="O713" i="34"/>
  <c r="O718" i="34"/>
  <c r="O758" i="34"/>
  <c r="O763" i="34"/>
  <c r="O768" i="34"/>
  <c r="O775" i="34"/>
  <c r="P18" i="34"/>
  <c r="P22" i="34"/>
  <c r="P27" i="34"/>
  <c r="P31" i="34"/>
  <c r="P34" i="34"/>
  <c r="P48" i="34"/>
  <c r="P81" i="34"/>
  <c r="P93" i="34"/>
  <c r="P99" i="34"/>
  <c r="P117" i="34"/>
  <c r="P134" i="34"/>
  <c r="P170" i="34"/>
  <c r="P178" i="34"/>
  <c r="P188" i="34"/>
  <c r="P193" i="34"/>
  <c r="P225" i="34"/>
  <c r="P230" i="34"/>
  <c r="P234" i="34"/>
  <c r="P238" i="34"/>
  <c r="P242" i="34"/>
  <c r="P260" i="34"/>
  <c r="P265" i="34"/>
  <c r="P280" i="34"/>
  <c r="P294" i="34"/>
  <c r="P328" i="34"/>
  <c r="P337" i="34"/>
  <c r="P340" i="34"/>
  <c r="P375" i="34"/>
  <c r="P399" i="34"/>
  <c r="P413" i="34"/>
  <c r="P425" i="34"/>
  <c r="P434" i="34"/>
  <c r="P460" i="34"/>
  <c r="P472" i="34"/>
  <c r="P501" i="34"/>
  <c r="P519" i="34"/>
  <c r="P536" i="34"/>
  <c r="P543" i="34"/>
  <c r="P544" i="34"/>
  <c r="P549" i="34"/>
  <c r="P556" i="34"/>
  <c r="P561" i="34"/>
  <c r="P580" i="34"/>
  <c r="P589" i="34"/>
  <c r="P620" i="34"/>
  <c r="P629" i="34"/>
  <c r="P635" i="34"/>
  <c r="P640" i="34"/>
  <c r="P648" i="34"/>
  <c r="P650" i="34"/>
  <c r="P651" i="34"/>
  <c r="P655" i="34"/>
  <c r="P679" i="34"/>
  <c r="P699" i="34"/>
  <c r="P701" i="34"/>
  <c r="P705" i="34"/>
  <c r="P713" i="34"/>
  <c r="P718" i="34"/>
  <c r="P758" i="34"/>
  <c r="P763" i="34"/>
  <c r="P768" i="34"/>
  <c r="P775" i="34"/>
  <c r="Q18" i="34"/>
  <c r="Q22" i="34"/>
  <c r="Q27" i="34"/>
  <c r="Q31" i="34"/>
  <c r="Q34" i="34"/>
  <c r="Q48" i="34"/>
  <c r="Q81" i="34"/>
  <c r="Q93" i="34"/>
  <c r="Q99" i="34"/>
  <c r="Q117" i="34"/>
  <c r="Q134" i="34"/>
  <c r="Q170" i="34"/>
  <c r="Q178" i="34"/>
  <c r="Q188" i="34"/>
  <c r="Q193" i="34"/>
  <c r="Q225" i="34"/>
  <c r="Q230" i="34"/>
  <c r="Q234" i="34"/>
  <c r="Q238" i="34"/>
  <c r="Q242" i="34"/>
  <c r="Q260" i="34"/>
  <c r="Q265" i="34"/>
  <c r="Q280" i="34"/>
  <c r="Q294" i="34"/>
  <c r="Q328" i="34"/>
  <c r="Q337" i="34"/>
  <c r="Q340" i="34"/>
  <c r="Q375" i="34"/>
  <c r="Q399" i="34"/>
  <c r="Q413" i="34"/>
  <c r="Q425" i="34"/>
  <c r="Q434" i="34"/>
  <c r="Q460" i="34"/>
  <c r="Q472" i="34"/>
  <c r="Q501" i="34"/>
  <c r="Q519" i="34"/>
  <c r="Q536" i="34"/>
  <c r="Q543" i="34"/>
  <c r="Q544" i="34"/>
  <c r="Q549" i="34"/>
  <c r="Q556" i="34"/>
  <c r="Q561" i="34"/>
  <c r="Q580" i="34"/>
  <c r="Q589" i="34"/>
  <c r="Q620" i="34"/>
  <c r="Q629" i="34"/>
  <c r="Q635" i="34"/>
  <c r="Q640" i="34"/>
  <c r="Q648" i="34"/>
  <c r="Q650" i="34"/>
  <c r="Q651" i="34"/>
  <c r="Q655" i="34"/>
  <c r="Q679" i="34"/>
  <c r="Q699" i="34"/>
  <c r="Q701" i="34"/>
  <c r="Q705" i="34"/>
  <c r="Q713" i="34"/>
  <c r="Q718" i="34"/>
  <c r="Q758" i="34"/>
  <c r="Q763" i="34"/>
  <c r="Q768" i="34"/>
  <c r="Q775" i="34"/>
  <c r="U18" i="34"/>
  <c r="U22" i="34"/>
  <c r="U27" i="34"/>
  <c r="U31" i="34"/>
  <c r="U34" i="34"/>
  <c r="U48" i="34"/>
  <c r="U81" i="34"/>
  <c r="U93" i="34"/>
  <c r="U99" i="34"/>
  <c r="U117" i="34"/>
  <c r="U134" i="34"/>
  <c r="U170" i="34"/>
  <c r="U178" i="34"/>
  <c r="U188" i="34"/>
  <c r="U193" i="34"/>
  <c r="U225" i="34"/>
  <c r="U230" i="34"/>
  <c r="U234" i="34"/>
  <c r="U238" i="34"/>
  <c r="U242" i="34"/>
  <c r="U260" i="34"/>
  <c r="U265" i="34"/>
  <c r="U280" i="34"/>
  <c r="U294" i="34"/>
  <c r="U328" i="34"/>
  <c r="U337" i="34"/>
  <c r="U340" i="34"/>
  <c r="U375" i="34"/>
  <c r="U399" i="34"/>
  <c r="U413" i="34"/>
  <c r="U425" i="34"/>
  <c r="U434" i="34"/>
  <c r="U460" i="34"/>
  <c r="U472" i="34"/>
  <c r="U501" i="34"/>
  <c r="U519" i="34"/>
  <c r="U536" i="34"/>
  <c r="U543" i="34"/>
  <c r="U544" i="34"/>
  <c r="U549" i="34"/>
  <c r="U556" i="34"/>
  <c r="U561" i="34"/>
  <c r="U580" i="34"/>
  <c r="U589" i="34"/>
  <c r="U620" i="34"/>
  <c r="U629" i="34"/>
  <c r="U635" i="34"/>
  <c r="U640" i="34"/>
  <c r="U648" i="34"/>
  <c r="U650" i="34"/>
  <c r="U651" i="34"/>
  <c r="U655" i="34"/>
  <c r="U679" i="34"/>
  <c r="U699" i="34"/>
  <c r="U701" i="34"/>
  <c r="U705" i="34"/>
  <c r="U713" i="34"/>
  <c r="U718" i="34"/>
  <c r="U758" i="34"/>
  <c r="U763" i="34"/>
  <c r="U768" i="34"/>
  <c r="U775" i="34"/>
  <c r="V18" i="34"/>
  <c r="V22" i="34"/>
  <c r="V27" i="34"/>
  <c r="V31" i="34"/>
  <c r="V34" i="34"/>
  <c r="V48" i="34"/>
  <c r="V81" i="34"/>
  <c r="V93" i="34"/>
  <c r="V99" i="34"/>
  <c r="V117" i="34"/>
  <c r="V134" i="34"/>
  <c r="V170" i="34"/>
  <c r="V178" i="34"/>
  <c r="V188" i="34"/>
  <c r="V193" i="34"/>
  <c r="V225" i="34"/>
  <c r="V230" i="34"/>
  <c r="V234" i="34"/>
  <c r="V238" i="34"/>
  <c r="V242" i="34"/>
  <c r="V260" i="34"/>
  <c r="V265" i="34"/>
  <c r="V280" i="34"/>
  <c r="V294" i="34"/>
  <c r="V328" i="34"/>
  <c r="V337" i="34"/>
  <c r="V340" i="34"/>
  <c r="V375" i="34"/>
  <c r="V399" i="34"/>
  <c r="V413" i="34"/>
  <c r="V425" i="34"/>
  <c r="V434" i="34"/>
  <c r="V460" i="34"/>
  <c r="V472" i="34"/>
  <c r="V501" i="34"/>
  <c r="V519" i="34"/>
  <c r="V536" i="34"/>
  <c r="V543" i="34"/>
  <c r="V544" i="34"/>
  <c r="V549" i="34"/>
  <c r="V556" i="34"/>
  <c r="V561" i="34"/>
  <c r="V580" i="34"/>
  <c r="V589" i="34"/>
  <c r="V620" i="34"/>
  <c r="V629" i="34"/>
  <c r="V635" i="34"/>
  <c r="V640" i="34"/>
  <c r="V648" i="34"/>
  <c r="V650" i="34"/>
  <c r="V651" i="34"/>
  <c r="V655" i="34"/>
  <c r="V679" i="34"/>
  <c r="V699" i="34"/>
  <c r="V701" i="34"/>
  <c r="V705" i="34"/>
  <c r="V713" i="34"/>
  <c r="V718" i="34"/>
  <c r="V758" i="34"/>
  <c r="V763" i="34"/>
  <c r="V768" i="34"/>
  <c r="V775" i="34"/>
  <c r="W18" i="34"/>
  <c r="W22" i="34"/>
  <c r="W27" i="34"/>
  <c r="W31" i="34"/>
  <c r="W34" i="34"/>
  <c r="W48" i="34"/>
  <c r="W81" i="34"/>
  <c r="W93" i="34"/>
  <c r="W99" i="34"/>
  <c r="W117" i="34"/>
  <c r="W134" i="34"/>
  <c r="W170" i="34"/>
  <c r="W178" i="34"/>
  <c r="W188" i="34"/>
  <c r="W193" i="34"/>
  <c r="W225" i="34"/>
  <c r="W230" i="34"/>
  <c r="W234" i="34"/>
  <c r="W238" i="34"/>
  <c r="W242" i="34"/>
  <c r="W260" i="34"/>
  <c r="W265" i="34"/>
  <c r="W280" i="34"/>
  <c r="W294" i="34"/>
  <c r="W328" i="34"/>
  <c r="W337" i="34"/>
  <c r="W340" i="34"/>
  <c r="W375" i="34"/>
  <c r="W399" i="34"/>
  <c r="W413" i="34"/>
  <c r="W425" i="34"/>
  <c r="W434" i="34"/>
  <c r="W460" i="34"/>
  <c r="W472" i="34"/>
  <c r="W501" i="34"/>
  <c r="W519" i="34"/>
  <c r="W536" i="34"/>
  <c r="W543" i="34"/>
  <c r="W544" i="34"/>
  <c r="W549" i="34"/>
  <c r="W556" i="34"/>
  <c r="W561" i="34"/>
  <c r="W580" i="34"/>
  <c r="W589" i="34"/>
  <c r="W620" i="34"/>
  <c r="W629" i="34"/>
  <c r="W635" i="34"/>
  <c r="W640" i="34"/>
  <c r="W648" i="34"/>
  <c r="W650" i="34"/>
  <c r="W651" i="34"/>
  <c r="W655" i="34"/>
  <c r="W679" i="34"/>
  <c r="W699" i="34"/>
  <c r="W701" i="34"/>
  <c r="W705" i="34"/>
  <c r="W713" i="34"/>
  <c r="W718" i="34"/>
  <c r="W758" i="34"/>
  <c r="W763" i="34"/>
  <c r="W768" i="34"/>
  <c r="W775" i="34"/>
  <c r="X18" i="34"/>
  <c r="X22" i="34"/>
  <c r="X27" i="34"/>
  <c r="X31" i="34"/>
  <c r="X34" i="34"/>
  <c r="X48" i="34"/>
  <c r="X81" i="34"/>
  <c r="X93" i="34"/>
  <c r="X99" i="34"/>
  <c r="X117" i="34"/>
  <c r="X134" i="34"/>
  <c r="X170" i="34"/>
  <c r="X178" i="34"/>
  <c r="X188" i="34"/>
  <c r="X193" i="34"/>
  <c r="X225" i="34"/>
  <c r="X230" i="34"/>
  <c r="X234" i="34"/>
  <c r="X238" i="34"/>
  <c r="X242" i="34"/>
  <c r="X260" i="34"/>
  <c r="X265" i="34"/>
  <c r="X280" i="34"/>
  <c r="X294" i="34"/>
  <c r="X328" i="34"/>
  <c r="X337" i="34"/>
  <c r="X340" i="34"/>
  <c r="X375" i="34"/>
  <c r="X399" i="34"/>
  <c r="X413" i="34"/>
  <c r="X425" i="34"/>
  <c r="X434" i="34"/>
  <c r="X460" i="34"/>
  <c r="X472" i="34"/>
  <c r="X501" i="34"/>
  <c r="X519" i="34"/>
  <c r="X536" i="34"/>
  <c r="X543" i="34"/>
  <c r="X544" i="34"/>
  <c r="X549" i="34"/>
  <c r="X556" i="34"/>
  <c r="X561" i="34"/>
  <c r="X580" i="34"/>
  <c r="X589" i="34"/>
  <c r="X620" i="34"/>
  <c r="X629" i="34"/>
  <c r="X635" i="34"/>
  <c r="X640" i="34"/>
  <c r="X648" i="34"/>
  <c r="X650" i="34"/>
  <c r="X651" i="34"/>
  <c r="X655" i="34"/>
  <c r="X679" i="34"/>
  <c r="X699" i="34"/>
  <c r="X701" i="34"/>
  <c r="X705" i="34"/>
  <c r="X713" i="34"/>
  <c r="X718" i="34"/>
  <c r="X758" i="34"/>
  <c r="X763" i="34"/>
  <c r="X768" i="34"/>
  <c r="X775" i="34"/>
  <c r="Y18" i="34"/>
  <c r="Y22" i="34"/>
  <c r="Y27" i="34"/>
  <c r="Y31" i="34"/>
  <c r="Y34" i="34"/>
  <c r="Y48" i="34"/>
  <c r="Y81" i="34"/>
  <c r="Y93" i="34"/>
  <c r="Y99" i="34"/>
  <c r="Y117" i="34"/>
  <c r="Y134" i="34"/>
  <c r="Y170" i="34"/>
  <c r="Y178" i="34"/>
  <c r="Y188" i="34"/>
  <c r="Y193" i="34"/>
  <c r="Y225" i="34"/>
  <c r="Y230" i="34"/>
  <c r="Y234" i="34"/>
  <c r="Y238" i="34"/>
  <c r="Y242" i="34"/>
  <c r="Y260" i="34"/>
  <c r="Y265" i="34"/>
  <c r="Y280" i="34"/>
  <c r="Y294" i="34"/>
  <c r="Y328" i="34"/>
  <c r="Y337" i="34"/>
  <c r="Y340" i="34"/>
  <c r="Y375" i="34"/>
  <c r="Y399" i="34"/>
  <c r="Y413" i="34"/>
  <c r="Y425" i="34"/>
  <c r="Y434" i="34"/>
  <c r="Y460" i="34"/>
  <c r="Y472" i="34"/>
  <c r="Y501" i="34"/>
  <c r="Y519" i="34"/>
  <c r="Y536" i="34"/>
  <c r="Y543" i="34"/>
  <c r="Y544" i="34"/>
  <c r="Y549" i="34"/>
  <c r="Y556" i="34"/>
  <c r="Y561" i="34"/>
  <c r="Y580" i="34"/>
  <c r="Y589" i="34"/>
  <c r="Y620" i="34"/>
  <c r="Y629" i="34"/>
  <c r="Y635" i="34"/>
  <c r="Y640" i="34"/>
  <c r="Y648" i="34"/>
  <c r="Y650" i="34"/>
  <c r="Y651" i="34"/>
  <c r="Y655" i="34"/>
  <c r="Y679" i="34"/>
  <c r="Y699" i="34"/>
  <c r="Y701" i="34"/>
  <c r="Y705" i="34"/>
  <c r="Y713" i="34"/>
  <c r="Y718" i="34"/>
  <c r="Y758" i="34"/>
  <c r="Y763" i="34"/>
  <c r="Y768" i="34"/>
  <c r="Y775" i="34"/>
  <c r="Z18" i="34"/>
  <c r="Z22" i="34"/>
  <c r="Z27" i="34"/>
  <c r="Z31" i="34"/>
  <c r="Z34" i="34"/>
  <c r="Z48" i="34"/>
  <c r="Z81" i="34"/>
  <c r="Z93" i="34"/>
  <c r="Z99" i="34"/>
  <c r="Z117" i="34"/>
  <c r="Z134" i="34"/>
  <c r="Z170" i="34"/>
  <c r="Z178" i="34"/>
  <c r="Z188" i="34"/>
  <c r="Z193" i="34"/>
  <c r="Z225" i="34"/>
  <c r="Z230" i="34"/>
  <c r="Z234" i="34"/>
  <c r="Z238" i="34"/>
  <c r="Z242" i="34"/>
  <c r="Z260" i="34"/>
  <c r="Z265" i="34"/>
  <c r="Z280" i="34"/>
  <c r="Z294" i="34"/>
  <c r="Z328" i="34"/>
  <c r="Z337" i="34"/>
  <c r="Z340" i="34"/>
  <c r="Z375" i="34"/>
  <c r="Z399" i="34"/>
  <c r="Z413" i="34"/>
  <c r="Z425" i="34"/>
  <c r="Z434" i="34"/>
  <c r="Z460" i="34"/>
  <c r="Z472" i="34"/>
  <c r="Z501" i="34"/>
  <c r="Z519" i="34"/>
  <c r="Z536" i="34"/>
  <c r="Z543" i="34"/>
  <c r="Z544" i="34"/>
  <c r="Z549" i="34"/>
  <c r="Z556" i="34"/>
  <c r="Z561" i="34"/>
  <c r="Z580" i="34"/>
  <c r="Z589" i="34"/>
  <c r="Z620" i="34"/>
  <c r="Z629" i="34"/>
  <c r="Z635" i="34"/>
  <c r="Z640" i="34"/>
  <c r="Z648" i="34"/>
  <c r="Z650" i="34"/>
  <c r="Z651" i="34"/>
  <c r="Z655" i="34"/>
  <c r="Z679" i="34"/>
  <c r="Z699" i="34"/>
  <c r="Z701" i="34"/>
  <c r="Z705" i="34"/>
  <c r="Z713" i="34"/>
  <c r="Z718" i="34"/>
  <c r="Z758" i="34"/>
  <c r="Z763" i="34"/>
  <c r="Z768" i="34"/>
  <c r="Z775" i="34"/>
  <c r="AA18" i="34"/>
  <c r="AA22" i="34"/>
  <c r="AA27" i="34"/>
  <c r="AA31" i="34"/>
  <c r="AA34" i="34"/>
  <c r="AA48" i="34"/>
  <c r="AA81" i="34"/>
  <c r="AA93" i="34"/>
  <c r="AA99" i="34"/>
  <c r="AA117" i="34"/>
  <c r="AA134" i="34"/>
  <c r="AA170" i="34"/>
  <c r="AA178" i="34"/>
  <c r="AA188" i="34"/>
  <c r="AA193" i="34"/>
  <c r="AA225" i="34"/>
  <c r="AA230" i="34"/>
  <c r="AA234" i="34"/>
  <c r="AA238" i="34"/>
  <c r="AA242" i="34"/>
  <c r="AA260" i="34"/>
  <c r="AA265" i="34"/>
  <c r="AA280" i="34"/>
  <c r="AA294" i="34"/>
  <c r="AA328" i="34"/>
  <c r="AA337" i="34"/>
  <c r="AA340" i="34"/>
  <c r="AA375" i="34"/>
  <c r="AA399" i="34"/>
  <c r="AA413" i="34"/>
  <c r="AA425" i="34"/>
  <c r="AA434" i="34"/>
  <c r="AA460" i="34"/>
  <c r="AA472" i="34"/>
  <c r="AA501" i="34"/>
  <c r="AA519" i="34"/>
  <c r="AA536" i="34"/>
  <c r="AA543" i="34"/>
  <c r="AA544" i="34"/>
  <c r="AA549" i="34"/>
  <c r="AA556" i="34"/>
  <c r="AA561" i="34"/>
  <c r="AA580" i="34"/>
  <c r="AA589" i="34"/>
  <c r="AA620" i="34"/>
  <c r="AA629" i="34"/>
  <c r="AA635" i="34"/>
  <c r="AA640" i="34"/>
  <c r="AA648" i="34"/>
  <c r="AA650" i="34"/>
  <c r="AA651" i="34"/>
  <c r="AA655" i="34"/>
  <c r="AA679" i="34"/>
  <c r="AA699" i="34"/>
  <c r="AA701" i="34"/>
  <c r="AA705" i="34"/>
  <c r="AA713" i="34"/>
  <c r="AA718" i="34"/>
  <c r="AA758" i="34"/>
  <c r="AA763" i="34"/>
  <c r="AA768" i="34"/>
  <c r="AA775" i="34"/>
  <c r="AB18" i="34"/>
  <c r="AB22" i="34"/>
  <c r="AB27" i="34"/>
  <c r="AB31" i="34"/>
  <c r="AB34" i="34"/>
  <c r="AB48" i="34"/>
  <c r="AB81" i="34"/>
  <c r="AB93" i="34"/>
  <c r="AB99" i="34"/>
  <c r="AB117" i="34"/>
  <c r="AB134" i="34"/>
  <c r="AB170" i="34"/>
  <c r="AB178" i="34"/>
  <c r="AB188" i="34"/>
  <c r="AB193" i="34"/>
  <c r="AB225" i="34"/>
  <c r="AB230" i="34"/>
  <c r="AB234" i="34"/>
  <c r="AB238" i="34"/>
  <c r="AB242" i="34"/>
  <c r="AB260" i="34"/>
  <c r="AB265" i="34"/>
  <c r="AB280" i="34"/>
  <c r="AB294" i="34"/>
  <c r="AB328" i="34"/>
  <c r="AB337" i="34"/>
  <c r="AB340" i="34"/>
  <c r="AB375" i="34"/>
  <c r="AB399" i="34"/>
  <c r="AB413" i="34"/>
  <c r="AB425" i="34"/>
  <c r="AB434" i="34"/>
  <c r="AB460" i="34"/>
  <c r="AB472" i="34"/>
  <c r="AB501" i="34"/>
  <c r="AB519" i="34"/>
  <c r="AB536" i="34"/>
  <c r="AB543" i="34"/>
  <c r="AB544" i="34"/>
  <c r="AB549" i="34"/>
  <c r="AB556" i="34"/>
  <c r="AB561" i="34"/>
  <c r="AB580" i="34"/>
  <c r="AB589" i="34"/>
  <c r="AB620" i="34"/>
  <c r="AB629" i="34"/>
  <c r="AB635" i="34"/>
  <c r="AB640" i="34"/>
  <c r="AB648" i="34"/>
  <c r="AB650" i="34"/>
  <c r="AB651" i="34"/>
  <c r="AB655" i="34"/>
  <c r="AB679" i="34"/>
  <c r="AB699" i="34"/>
  <c r="AB701" i="34"/>
  <c r="AB705" i="34"/>
  <c r="AB713" i="34"/>
  <c r="AB718" i="34"/>
  <c r="AB758" i="34"/>
  <c r="AB763" i="34"/>
  <c r="AB768" i="34"/>
  <c r="AB775" i="34"/>
  <c r="AC18" i="34"/>
  <c r="AC22" i="34"/>
  <c r="AC27" i="34"/>
  <c r="AC31" i="34"/>
  <c r="AC34" i="34"/>
  <c r="AC48" i="34"/>
  <c r="AC81" i="34"/>
  <c r="AC93" i="34"/>
  <c r="AC99" i="34"/>
  <c r="AC117" i="34"/>
  <c r="AC134" i="34"/>
  <c r="AC170" i="34"/>
  <c r="AC178" i="34"/>
  <c r="AC188" i="34"/>
  <c r="AC193" i="34"/>
  <c r="AC225" i="34"/>
  <c r="AC230" i="34"/>
  <c r="AC234" i="34"/>
  <c r="AC238" i="34"/>
  <c r="AC242" i="34"/>
  <c r="AC260" i="34"/>
  <c r="AC265" i="34"/>
  <c r="AC280" i="34"/>
  <c r="AC294" i="34"/>
  <c r="AC328" i="34"/>
  <c r="AC337" i="34"/>
  <c r="AC340" i="34"/>
  <c r="AC375" i="34"/>
  <c r="AC399" i="34"/>
  <c r="AC413" i="34"/>
  <c r="AC425" i="34"/>
  <c r="AC434" i="34"/>
  <c r="AC460" i="34"/>
  <c r="AC472" i="34"/>
  <c r="AC501" i="34"/>
  <c r="AC519" i="34"/>
  <c r="AC536" i="34"/>
  <c r="AC543" i="34"/>
  <c r="AC544" i="34"/>
  <c r="AC549" i="34"/>
  <c r="AC556" i="34"/>
  <c r="AC561" i="34"/>
  <c r="AC580" i="34"/>
  <c r="AC589" i="34"/>
  <c r="AC620" i="34"/>
  <c r="AC629" i="34"/>
  <c r="AC635" i="34"/>
  <c r="AC640" i="34"/>
  <c r="AC648" i="34"/>
  <c r="AC650" i="34"/>
  <c r="AC651" i="34"/>
  <c r="AC655" i="34"/>
  <c r="AC679" i="34"/>
  <c r="AC699" i="34"/>
  <c r="AC701" i="34"/>
  <c r="AC705" i="34"/>
  <c r="AC713" i="34"/>
  <c r="AC718" i="34"/>
  <c r="AC758" i="34"/>
  <c r="AC763" i="34"/>
  <c r="AC768" i="34"/>
  <c r="AC775" i="34"/>
  <c r="AD18" i="34"/>
  <c r="AD22" i="34"/>
  <c r="AD27" i="34"/>
  <c r="AD31" i="34"/>
  <c r="AD34" i="34"/>
  <c r="AD48" i="34"/>
  <c r="AD81" i="34"/>
  <c r="AD93" i="34"/>
  <c r="AD99" i="34"/>
  <c r="AD117" i="34"/>
  <c r="AD134" i="34"/>
  <c r="AD170" i="34"/>
  <c r="AD178" i="34"/>
  <c r="AD188" i="34"/>
  <c r="AD193" i="34"/>
  <c r="AD225" i="34"/>
  <c r="AD230" i="34"/>
  <c r="AD234" i="34"/>
  <c r="AD238" i="34"/>
  <c r="AD242" i="34"/>
  <c r="AD260" i="34"/>
  <c r="AD265" i="34"/>
  <c r="AD280" i="34"/>
  <c r="AD294" i="34"/>
  <c r="AD328" i="34"/>
  <c r="AD337" i="34"/>
  <c r="AD340" i="34"/>
  <c r="AD375" i="34"/>
  <c r="AD399" i="34"/>
  <c r="AD413" i="34"/>
  <c r="AD425" i="34"/>
  <c r="AD434" i="34"/>
  <c r="AD460" i="34"/>
  <c r="AD472" i="34"/>
  <c r="AD501" i="34"/>
  <c r="AD519" i="34"/>
  <c r="AD536" i="34"/>
  <c r="AD543" i="34"/>
  <c r="AD544" i="34"/>
  <c r="AD549" i="34"/>
  <c r="AD556" i="34"/>
  <c r="AD561" i="34"/>
  <c r="AD580" i="34"/>
  <c r="AD589" i="34"/>
  <c r="AD620" i="34"/>
  <c r="AD629" i="34"/>
  <c r="AD635" i="34"/>
  <c r="AD640" i="34"/>
  <c r="AD648" i="34"/>
  <c r="AD650" i="34"/>
  <c r="AD651" i="34"/>
  <c r="AD655" i="34"/>
  <c r="AD679" i="34"/>
  <c r="AD699" i="34"/>
  <c r="AD701" i="34"/>
  <c r="AD705" i="34"/>
  <c r="AD713" i="34"/>
  <c r="AD718" i="34"/>
  <c r="AD758" i="34"/>
  <c r="AD763" i="34"/>
  <c r="AD768" i="34"/>
  <c r="AD775" i="34"/>
  <c r="AE18" i="34"/>
  <c r="AE22" i="34"/>
  <c r="AE27" i="34"/>
  <c r="AE31" i="34"/>
  <c r="AE34" i="34"/>
  <c r="AE48" i="34"/>
  <c r="AE81" i="34"/>
  <c r="AE93" i="34"/>
  <c r="AE99" i="34"/>
  <c r="AE117" i="34"/>
  <c r="AE134" i="34"/>
  <c r="AE170" i="34"/>
  <c r="AE178" i="34"/>
  <c r="AE188" i="34"/>
  <c r="AE193" i="34"/>
  <c r="AE225" i="34"/>
  <c r="AE230" i="34"/>
  <c r="AE234" i="34"/>
  <c r="AE238" i="34"/>
  <c r="AE242" i="34"/>
  <c r="AE260" i="34"/>
  <c r="AE265" i="34"/>
  <c r="AE280" i="34"/>
  <c r="AE294" i="34"/>
  <c r="AE328" i="34"/>
  <c r="AE337" i="34"/>
  <c r="AE340" i="34"/>
  <c r="AE375" i="34"/>
  <c r="AE399" i="34"/>
  <c r="AE413" i="34"/>
  <c r="AE425" i="34"/>
  <c r="AE434" i="34"/>
  <c r="AE460" i="34"/>
  <c r="AE472" i="34"/>
  <c r="AE501" i="34"/>
  <c r="AE519" i="34"/>
  <c r="AE536" i="34"/>
  <c r="AE543" i="34"/>
  <c r="AE544" i="34"/>
  <c r="AE549" i="34"/>
  <c r="AE556" i="34"/>
  <c r="AE561" i="34"/>
  <c r="AE580" i="34"/>
  <c r="AE589" i="34"/>
  <c r="AE620" i="34"/>
  <c r="AE629" i="34"/>
  <c r="AE635" i="34"/>
  <c r="AE640" i="34"/>
  <c r="AE648" i="34"/>
  <c r="AE650" i="34"/>
  <c r="AE651" i="34"/>
  <c r="AE655" i="34"/>
  <c r="AE679" i="34"/>
  <c r="AE699" i="34"/>
  <c r="AE701" i="34"/>
  <c r="AE705" i="34"/>
  <c r="AE713" i="34"/>
  <c r="AE718" i="34"/>
  <c r="AE758" i="34"/>
  <c r="AE763" i="34"/>
  <c r="AE768" i="34"/>
  <c r="AE775" i="34"/>
  <c r="AF18" i="34"/>
  <c r="AF22" i="34"/>
  <c r="AF27" i="34"/>
  <c r="AF31" i="34"/>
  <c r="AF34" i="34"/>
  <c r="AF48" i="34"/>
  <c r="AF81" i="34"/>
  <c r="AF93" i="34"/>
  <c r="AF99" i="34"/>
  <c r="AF117" i="34"/>
  <c r="AF134" i="34"/>
  <c r="AF170" i="34"/>
  <c r="AF178" i="34"/>
  <c r="AF188" i="34"/>
  <c r="AF193" i="34"/>
  <c r="AF225" i="34"/>
  <c r="AF230" i="34"/>
  <c r="AF234" i="34"/>
  <c r="AF238" i="34"/>
  <c r="AF242" i="34"/>
  <c r="AF260" i="34"/>
  <c r="AF265" i="34"/>
  <c r="AF280" i="34"/>
  <c r="AF294" i="34"/>
  <c r="AF328" i="34"/>
  <c r="AF337" i="34"/>
  <c r="AF340" i="34"/>
  <c r="AF375" i="34"/>
  <c r="AF399" i="34"/>
  <c r="AF413" i="34"/>
  <c r="AF425" i="34"/>
  <c r="AF434" i="34"/>
  <c r="AF460" i="34"/>
  <c r="AF472" i="34"/>
  <c r="AF501" i="34"/>
  <c r="AF519" i="34"/>
  <c r="AF536" i="34"/>
  <c r="AF543" i="34"/>
  <c r="AF544" i="34"/>
  <c r="AF549" i="34"/>
  <c r="AF556" i="34"/>
  <c r="AF561" i="34"/>
  <c r="AF580" i="34"/>
  <c r="AF589" i="34"/>
  <c r="AF620" i="34"/>
  <c r="AF629" i="34"/>
  <c r="AF635" i="34"/>
  <c r="AF640" i="34"/>
  <c r="AF648" i="34"/>
  <c r="AF650" i="34"/>
  <c r="AF651" i="34"/>
  <c r="AF655" i="34"/>
  <c r="AF679" i="34"/>
  <c r="AF699" i="34"/>
  <c r="AF701" i="34"/>
  <c r="AF705" i="34"/>
  <c r="AF713" i="34"/>
  <c r="AF718" i="34"/>
  <c r="AF758" i="34"/>
  <c r="AF763" i="34"/>
  <c r="AF768" i="34"/>
  <c r="AF775" i="34"/>
  <c r="AG18" i="34"/>
  <c r="AG22" i="34"/>
  <c r="AG27" i="34"/>
  <c r="AG31" i="34"/>
  <c r="AG34" i="34"/>
  <c r="AG48" i="34"/>
  <c r="AG81" i="34"/>
  <c r="AG93" i="34"/>
  <c r="AG99" i="34"/>
  <c r="AG117" i="34"/>
  <c r="AG134" i="34"/>
  <c r="AG170" i="34"/>
  <c r="AG178" i="34"/>
  <c r="AG188" i="34"/>
  <c r="AG193" i="34"/>
  <c r="AG225" i="34"/>
  <c r="AG230" i="34"/>
  <c r="AG234" i="34"/>
  <c r="AG238" i="34"/>
  <c r="AG242" i="34"/>
  <c r="AG260" i="34"/>
  <c r="AG265" i="34"/>
  <c r="AG280" i="34"/>
  <c r="AG294" i="34"/>
  <c r="AG328" i="34"/>
  <c r="AG337" i="34"/>
  <c r="AG340" i="34"/>
  <c r="AG375" i="34"/>
  <c r="AG399" i="34"/>
  <c r="AG413" i="34"/>
  <c r="AG425" i="34"/>
  <c r="AG434" i="34"/>
  <c r="AG460" i="34"/>
  <c r="AG472" i="34"/>
  <c r="AG501" i="34"/>
  <c r="AG519" i="34"/>
  <c r="AG536" i="34"/>
  <c r="AG543" i="34"/>
  <c r="AG544" i="34"/>
  <c r="AG549" i="34"/>
  <c r="AG556" i="34"/>
  <c r="AG561" i="34"/>
  <c r="AG580" i="34"/>
  <c r="AG589" i="34"/>
  <c r="AG620" i="34"/>
  <c r="AG629" i="34"/>
  <c r="AG635" i="34"/>
  <c r="AG640" i="34"/>
  <c r="AG648" i="34"/>
  <c r="AG650" i="34"/>
  <c r="AG651" i="34"/>
  <c r="AG655" i="34"/>
  <c r="AG679" i="34"/>
  <c r="AG699" i="34"/>
  <c r="AG701" i="34"/>
  <c r="AG705" i="34"/>
  <c r="AG713" i="34"/>
  <c r="AG718" i="34"/>
  <c r="AG758" i="34"/>
  <c r="AG763" i="34"/>
  <c r="AG768" i="34"/>
  <c r="AG775" i="34"/>
  <c r="D20" i="34"/>
  <c r="D25" i="34"/>
  <c r="D33" i="34"/>
  <c r="D39" i="34"/>
  <c r="D45" i="34"/>
  <c r="D51" i="34"/>
  <c r="D69" i="34"/>
  <c r="D72" i="34"/>
  <c r="D76" i="34"/>
  <c r="D79" i="34"/>
  <c r="D91" i="34"/>
  <c r="D105" i="34"/>
  <c r="D116" i="34"/>
  <c r="D127" i="34"/>
  <c r="D129" i="34"/>
  <c r="D131" i="34"/>
  <c r="D137" i="34"/>
  <c r="D144" i="34"/>
  <c r="D165" i="34"/>
  <c r="D172" i="34"/>
  <c r="D180" i="34"/>
  <c r="D184" i="34"/>
  <c r="D186" i="34"/>
  <c r="D197" i="34"/>
  <c r="D201" i="34"/>
  <c r="D209" i="34"/>
  <c r="D215" i="34"/>
  <c r="D219" i="34"/>
  <c r="D221" i="34"/>
  <c r="D226" i="34"/>
  <c r="D232" i="34"/>
  <c r="D241" i="34"/>
  <c r="D248" i="34"/>
  <c r="D250" i="34"/>
  <c r="D262" i="34"/>
  <c r="D266" i="34"/>
  <c r="D274" i="34"/>
  <c r="D282" i="34"/>
  <c r="D288" i="34"/>
  <c r="D291" i="34"/>
  <c r="D303" i="34"/>
  <c r="D312" i="34"/>
  <c r="D323" i="34"/>
  <c r="D331" i="34"/>
  <c r="D341" i="34"/>
  <c r="D344" i="34"/>
  <c r="D352" i="34"/>
  <c r="D358" i="34"/>
  <c r="D360" i="34"/>
  <c r="D362" i="34"/>
  <c r="D368" i="34"/>
  <c r="D378" i="34"/>
  <c r="D381" i="34"/>
  <c r="D382" i="34"/>
  <c r="D390" i="34"/>
  <c r="D391" i="34"/>
  <c r="D398" i="34"/>
  <c r="D405" i="34"/>
  <c r="D408" i="34"/>
  <c r="D416" i="34"/>
  <c r="D424" i="34"/>
  <c r="D432" i="34"/>
  <c r="D440" i="34"/>
  <c r="D449" i="34"/>
  <c r="D456" i="34"/>
  <c r="D466" i="34"/>
  <c r="D475" i="34"/>
  <c r="D487" i="34"/>
  <c r="D491" i="34"/>
  <c r="D500" i="34"/>
  <c r="D506" i="34"/>
  <c r="D513" i="34"/>
  <c r="D521" i="34"/>
  <c r="D526" i="34"/>
  <c r="D535" i="34"/>
  <c r="D539" i="34"/>
  <c r="D541" i="34"/>
  <c r="D548" i="34"/>
  <c r="D551" i="34"/>
  <c r="D554" i="34"/>
  <c r="D565" i="34"/>
  <c r="D571" i="34"/>
  <c r="D573" i="34"/>
  <c r="D574" i="34"/>
  <c r="D578" i="34"/>
  <c r="D581" i="34"/>
  <c r="D583" i="34"/>
  <c r="D588" i="34"/>
  <c r="D601" i="34"/>
  <c r="D605" i="34"/>
  <c r="D606" i="34"/>
  <c r="D609" i="34"/>
  <c r="D613" i="34"/>
  <c r="D617" i="34"/>
  <c r="D621" i="34"/>
  <c r="D625" i="34"/>
  <c r="D628" i="34"/>
  <c r="D637" i="34"/>
  <c r="D643" i="34"/>
  <c r="D652" i="34"/>
  <c r="D659" i="34"/>
  <c r="D661" i="34"/>
  <c r="D667" i="34"/>
  <c r="D669" i="34"/>
  <c r="D674" i="34"/>
  <c r="D680" i="34"/>
  <c r="D684" i="34"/>
  <c r="D686" i="34"/>
  <c r="D688" i="34"/>
  <c r="D695" i="34"/>
  <c r="D702" i="34"/>
  <c r="D711" i="34"/>
  <c r="D722" i="34"/>
  <c r="D725" i="34"/>
  <c r="D728" i="34"/>
  <c r="D742" i="34"/>
  <c r="D746" i="34"/>
  <c r="D755" i="34"/>
  <c r="D760" i="34"/>
  <c r="D764" i="34"/>
  <c r="D770" i="34"/>
  <c r="D777" i="34"/>
  <c r="O20" i="34"/>
  <c r="O25" i="34"/>
  <c r="O33" i="34"/>
  <c r="O39" i="34"/>
  <c r="O45" i="34"/>
  <c r="O51" i="34"/>
  <c r="O69" i="34"/>
  <c r="O72" i="34"/>
  <c r="O76" i="34"/>
  <c r="O79" i="34"/>
  <c r="O91" i="34"/>
  <c r="O105" i="34"/>
  <c r="O116" i="34"/>
  <c r="O127" i="34"/>
  <c r="O129" i="34"/>
  <c r="O131" i="34"/>
  <c r="O137" i="34"/>
  <c r="O144" i="34"/>
  <c r="O165" i="34"/>
  <c r="O172" i="34"/>
  <c r="O180" i="34"/>
  <c r="O184" i="34"/>
  <c r="O186" i="34"/>
  <c r="O197" i="34"/>
  <c r="O201" i="34"/>
  <c r="O209" i="34"/>
  <c r="O215" i="34"/>
  <c r="O219" i="34"/>
  <c r="O221" i="34"/>
  <c r="O226" i="34"/>
  <c r="O232" i="34"/>
  <c r="O241" i="34"/>
  <c r="O248" i="34"/>
  <c r="O250" i="34"/>
  <c r="O262" i="34"/>
  <c r="O266" i="34"/>
  <c r="O274" i="34"/>
  <c r="O282" i="34"/>
  <c r="O288" i="34"/>
  <c r="O291" i="34"/>
  <c r="O303" i="34"/>
  <c r="O312" i="34"/>
  <c r="O323" i="34"/>
  <c r="O331" i="34"/>
  <c r="O341" i="34"/>
  <c r="O344" i="34"/>
  <c r="O352" i="34"/>
  <c r="O358" i="34"/>
  <c r="O360" i="34"/>
  <c r="O362" i="34"/>
  <c r="O368" i="34"/>
  <c r="O378" i="34"/>
  <c r="O381" i="34"/>
  <c r="O382" i="34"/>
  <c r="O390" i="34"/>
  <c r="O391" i="34"/>
  <c r="O398" i="34"/>
  <c r="O405" i="34"/>
  <c r="O408" i="34"/>
  <c r="O416" i="34"/>
  <c r="O424" i="34"/>
  <c r="O432" i="34"/>
  <c r="O440" i="34"/>
  <c r="O449" i="34"/>
  <c r="O456" i="34"/>
  <c r="O466" i="34"/>
  <c r="O475" i="34"/>
  <c r="O487" i="34"/>
  <c r="O491" i="34"/>
  <c r="O500" i="34"/>
  <c r="O506" i="34"/>
  <c r="O513" i="34"/>
  <c r="O521" i="34"/>
  <c r="O526" i="34"/>
  <c r="O535" i="34"/>
  <c r="O539" i="34"/>
  <c r="O541" i="34"/>
  <c r="O548" i="34"/>
  <c r="O551" i="34"/>
  <c r="O554" i="34"/>
  <c r="O565" i="34"/>
  <c r="O571" i="34"/>
  <c r="O573" i="34"/>
  <c r="O574" i="34"/>
  <c r="O578" i="34"/>
  <c r="O581" i="34"/>
  <c r="O583" i="34"/>
  <c r="O588" i="34"/>
  <c r="O601" i="34"/>
  <c r="O605" i="34"/>
  <c r="O606" i="34"/>
  <c r="O609" i="34"/>
  <c r="O613" i="34"/>
  <c r="O617" i="34"/>
  <c r="O621" i="34"/>
  <c r="O625" i="34"/>
  <c r="O628" i="34"/>
  <c r="O637" i="34"/>
  <c r="O643" i="34"/>
  <c r="O652" i="34"/>
  <c r="O659" i="34"/>
  <c r="O661" i="34"/>
  <c r="O667" i="34"/>
  <c r="O669" i="34"/>
  <c r="O674" i="34"/>
  <c r="O680" i="34"/>
  <c r="O684" i="34"/>
  <c r="O686" i="34"/>
  <c r="O688" i="34"/>
  <c r="O695" i="34"/>
  <c r="O702" i="34"/>
  <c r="O711" i="34"/>
  <c r="O722" i="34"/>
  <c r="O725" i="34"/>
  <c r="O728" i="34"/>
  <c r="O742" i="34"/>
  <c r="O746" i="34"/>
  <c r="O755" i="34"/>
  <c r="O760" i="34"/>
  <c r="O764" i="34"/>
  <c r="O770" i="34"/>
  <c r="O777" i="34"/>
  <c r="P20" i="34"/>
  <c r="P25" i="34"/>
  <c r="P33" i="34"/>
  <c r="P39" i="34"/>
  <c r="P45" i="34"/>
  <c r="P51" i="34"/>
  <c r="P69" i="34"/>
  <c r="P72" i="34"/>
  <c r="P76" i="34"/>
  <c r="P79" i="34"/>
  <c r="P91" i="34"/>
  <c r="P105" i="34"/>
  <c r="P116" i="34"/>
  <c r="P127" i="34"/>
  <c r="P129" i="34"/>
  <c r="P131" i="34"/>
  <c r="P137" i="34"/>
  <c r="P144" i="34"/>
  <c r="P165" i="34"/>
  <c r="P172" i="34"/>
  <c r="P180" i="34"/>
  <c r="P184" i="34"/>
  <c r="P186" i="34"/>
  <c r="P197" i="34"/>
  <c r="P201" i="34"/>
  <c r="P209" i="34"/>
  <c r="P215" i="34"/>
  <c r="P219" i="34"/>
  <c r="P221" i="34"/>
  <c r="P226" i="34"/>
  <c r="P232" i="34"/>
  <c r="P241" i="34"/>
  <c r="P248" i="34"/>
  <c r="P250" i="34"/>
  <c r="P262" i="34"/>
  <c r="P266" i="34"/>
  <c r="P274" i="34"/>
  <c r="P282" i="34"/>
  <c r="P288" i="34"/>
  <c r="P291" i="34"/>
  <c r="P303" i="34"/>
  <c r="P312" i="34"/>
  <c r="P323" i="34"/>
  <c r="P331" i="34"/>
  <c r="P341" i="34"/>
  <c r="P344" i="34"/>
  <c r="P352" i="34"/>
  <c r="P358" i="34"/>
  <c r="P360" i="34"/>
  <c r="P362" i="34"/>
  <c r="P368" i="34"/>
  <c r="P378" i="34"/>
  <c r="P381" i="34"/>
  <c r="P382" i="34"/>
  <c r="P390" i="34"/>
  <c r="P391" i="34"/>
  <c r="P398" i="34"/>
  <c r="P405" i="34"/>
  <c r="P408" i="34"/>
  <c r="P416" i="34"/>
  <c r="P424" i="34"/>
  <c r="P432" i="34"/>
  <c r="P440" i="34"/>
  <c r="P449" i="34"/>
  <c r="P456" i="34"/>
  <c r="P466" i="34"/>
  <c r="P475" i="34"/>
  <c r="P487" i="34"/>
  <c r="P491" i="34"/>
  <c r="P500" i="34"/>
  <c r="P506" i="34"/>
  <c r="P513" i="34"/>
  <c r="P521" i="34"/>
  <c r="P526" i="34"/>
  <c r="P535" i="34"/>
  <c r="P539" i="34"/>
  <c r="P541" i="34"/>
  <c r="P548" i="34"/>
  <c r="P551" i="34"/>
  <c r="P554" i="34"/>
  <c r="P565" i="34"/>
  <c r="P571" i="34"/>
  <c r="P573" i="34"/>
  <c r="P574" i="34"/>
  <c r="P578" i="34"/>
  <c r="P581" i="34"/>
  <c r="P583" i="34"/>
  <c r="P588" i="34"/>
  <c r="P601" i="34"/>
  <c r="P605" i="34"/>
  <c r="P606" i="34"/>
  <c r="P609" i="34"/>
  <c r="P613" i="34"/>
  <c r="P617" i="34"/>
  <c r="P621" i="34"/>
  <c r="P625" i="34"/>
  <c r="P628" i="34"/>
  <c r="P637" i="34"/>
  <c r="P643" i="34"/>
  <c r="P652" i="34"/>
  <c r="P659" i="34"/>
  <c r="P661" i="34"/>
  <c r="P667" i="34"/>
  <c r="P669" i="34"/>
  <c r="P674" i="34"/>
  <c r="P680" i="34"/>
  <c r="P684" i="34"/>
  <c r="P686" i="34"/>
  <c r="P688" i="34"/>
  <c r="P695" i="34"/>
  <c r="P702" i="34"/>
  <c r="P711" i="34"/>
  <c r="P722" i="34"/>
  <c r="P725" i="34"/>
  <c r="P728" i="34"/>
  <c r="P742" i="34"/>
  <c r="P746" i="34"/>
  <c r="P755" i="34"/>
  <c r="P760" i="34"/>
  <c r="P764" i="34"/>
  <c r="P770" i="34"/>
  <c r="P777" i="34"/>
  <c r="Q20" i="34"/>
  <c r="Q25" i="34"/>
  <c r="Q33" i="34"/>
  <c r="Q39" i="34"/>
  <c r="Q45" i="34"/>
  <c r="Q51" i="34"/>
  <c r="Q69" i="34"/>
  <c r="Q72" i="34"/>
  <c r="Q76" i="34"/>
  <c r="Q79" i="34"/>
  <c r="Q91" i="34"/>
  <c r="Q105" i="34"/>
  <c r="Q116" i="34"/>
  <c r="Q127" i="34"/>
  <c r="Q129" i="34"/>
  <c r="Q131" i="34"/>
  <c r="Q137" i="34"/>
  <c r="Q144" i="34"/>
  <c r="Q165" i="34"/>
  <c r="Q172" i="34"/>
  <c r="Q180" i="34"/>
  <c r="Q184" i="34"/>
  <c r="Q186" i="34"/>
  <c r="Q197" i="34"/>
  <c r="Q201" i="34"/>
  <c r="Q209" i="34"/>
  <c r="Q215" i="34"/>
  <c r="Q219" i="34"/>
  <c r="Q221" i="34"/>
  <c r="Q226" i="34"/>
  <c r="Q232" i="34"/>
  <c r="Q241" i="34"/>
  <c r="Q248" i="34"/>
  <c r="Q250" i="34"/>
  <c r="Q262" i="34"/>
  <c r="Q266" i="34"/>
  <c r="Q274" i="34"/>
  <c r="Q282" i="34"/>
  <c r="Q288" i="34"/>
  <c r="Q291" i="34"/>
  <c r="Q303" i="34"/>
  <c r="Q312" i="34"/>
  <c r="Q323" i="34"/>
  <c r="Q331" i="34"/>
  <c r="Q341" i="34"/>
  <c r="Q344" i="34"/>
  <c r="Q352" i="34"/>
  <c r="Q358" i="34"/>
  <c r="Q360" i="34"/>
  <c r="Q362" i="34"/>
  <c r="Q368" i="34"/>
  <c r="Q378" i="34"/>
  <c r="Q381" i="34"/>
  <c r="Q382" i="34"/>
  <c r="Q390" i="34"/>
  <c r="Q391" i="34"/>
  <c r="Q398" i="34"/>
  <c r="Q405" i="34"/>
  <c r="Q408" i="34"/>
  <c r="Q416" i="34"/>
  <c r="Q424" i="34"/>
  <c r="Q432" i="34"/>
  <c r="Q440" i="34"/>
  <c r="Q449" i="34"/>
  <c r="Q456" i="34"/>
  <c r="Q466" i="34"/>
  <c r="Q475" i="34"/>
  <c r="Q487" i="34"/>
  <c r="Q491" i="34"/>
  <c r="Q500" i="34"/>
  <c r="Q506" i="34"/>
  <c r="Q513" i="34"/>
  <c r="Q521" i="34"/>
  <c r="Q526" i="34"/>
  <c r="Q535" i="34"/>
  <c r="Q539" i="34"/>
  <c r="Q541" i="34"/>
  <c r="Q548" i="34"/>
  <c r="Q551" i="34"/>
  <c r="Q554" i="34"/>
  <c r="Q565" i="34"/>
  <c r="Q571" i="34"/>
  <c r="Q573" i="34"/>
  <c r="Q574" i="34"/>
  <c r="Q578" i="34"/>
  <c r="Q581" i="34"/>
  <c r="Q583" i="34"/>
  <c r="Q588" i="34"/>
  <c r="Q601" i="34"/>
  <c r="Q605" i="34"/>
  <c r="Q606" i="34"/>
  <c r="Q609" i="34"/>
  <c r="Q613" i="34"/>
  <c r="Q617" i="34"/>
  <c r="Q621" i="34"/>
  <c r="Q625" i="34"/>
  <c r="Q628" i="34"/>
  <c r="Q637" i="34"/>
  <c r="Q643" i="34"/>
  <c r="Q652" i="34"/>
  <c r="Q659" i="34"/>
  <c r="Q661" i="34"/>
  <c r="Q667" i="34"/>
  <c r="Q669" i="34"/>
  <c r="Q674" i="34"/>
  <c r="Q680" i="34"/>
  <c r="Q684" i="34"/>
  <c r="Q686" i="34"/>
  <c r="Q688" i="34"/>
  <c r="Q695" i="34"/>
  <c r="Q702" i="34"/>
  <c r="Q711" i="34"/>
  <c r="Q722" i="34"/>
  <c r="Q725" i="34"/>
  <c r="Q728" i="34"/>
  <c r="Q742" i="34"/>
  <c r="Q746" i="34"/>
  <c r="Q755" i="34"/>
  <c r="Q760" i="34"/>
  <c r="Q764" i="34"/>
  <c r="Q770" i="34"/>
  <c r="Q777" i="34"/>
  <c r="U20" i="34"/>
  <c r="U25" i="34"/>
  <c r="U33" i="34"/>
  <c r="U39" i="34"/>
  <c r="U45" i="34"/>
  <c r="U51" i="34"/>
  <c r="U69" i="34"/>
  <c r="U72" i="34"/>
  <c r="U76" i="34"/>
  <c r="U79" i="34"/>
  <c r="U91" i="34"/>
  <c r="U105" i="34"/>
  <c r="U116" i="34"/>
  <c r="U127" i="34"/>
  <c r="U129" i="34"/>
  <c r="U131" i="34"/>
  <c r="U137" i="34"/>
  <c r="U144" i="34"/>
  <c r="U165" i="34"/>
  <c r="U172" i="34"/>
  <c r="U180" i="34"/>
  <c r="U184" i="34"/>
  <c r="U186" i="34"/>
  <c r="U197" i="34"/>
  <c r="U201" i="34"/>
  <c r="U209" i="34"/>
  <c r="U215" i="34"/>
  <c r="U219" i="34"/>
  <c r="U221" i="34"/>
  <c r="U226" i="34"/>
  <c r="U232" i="34"/>
  <c r="U241" i="34"/>
  <c r="U248" i="34"/>
  <c r="U250" i="34"/>
  <c r="U262" i="34"/>
  <c r="U266" i="34"/>
  <c r="U274" i="34"/>
  <c r="U282" i="34"/>
  <c r="U288" i="34"/>
  <c r="U291" i="34"/>
  <c r="U303" i="34"/>
  <c r="U312" i="34"/>
  <c r="U323" i="34"/>
  <c r="U331" i="34"/>
  <c r="U341" i="34"/>
  <c r="U344" i="34"/>
  <c r="U352" i="34"/>
  <c r="U358" i="34"/>
  <c r="U360" i="34"/>
  <c r="U362" i="34"/>
  <c r="U368" i="34"/>
  <c r="U378" i="34"/>
  <c r="U381" i="34"/>
  <c r="U382" i="34"/>
  <c r="U390" i="34"/>
  <c r="U391" i="34"/>
  <c r="U398" i="34"/>
  <c r="U405" i="34"/>
  <c r="U408" i="34"/>
  <c r="U416" i="34"/>
  <c r="U424" i="34"/>
  <c r="U432" i="34"/>
  <c r="U440" i="34"/>
  <c r="U449" i="34"/>
  <c r="U456" i="34"/>
  <c r="U466" i="34"/>
  <c r="U475" i="34"/>
  <c r="U487" i="34"/>
  <c r="U491" i="34"/>
  <c r="U500" i="34"/>
  <c r="U506" i="34"/>
  <c r="U513" i="34"/>
  <c r="U521" i="34"/>
  <c r="U526" i="34"/>
  <c r="U535" i="34"/>
  <c r="U539" i="34"/>
  <c r="U541" i="34"/>
  <c r="U548" i="34"/>
  <c r="U551" i="34"/>
  <c r="U554" i="34"/>
  <c r="U565" i="34"/>
  <c r="U571" i="34"/>
  <c r="U573" i="34"/>
  <c r="U574" i="34"/>
  <c r="U578" i="34"/>
  <c r="U581" i="34"/>
  <c r="U583" i="34"/>
  <c r="U588" i="34"/>
  <c r="U601" i="34"/>
  <c r="U605" i="34"/>
  <c r="U606" i="34"/>
  <c r="U609" i="34"/>
  <c r="U613" i="34"/>
  <c r="U617" i="34"/>
  <c r="U621" i="34"/>
  <c r="U625" i="34"/>
  <c r="U628" i="34"/>
  <c r="U637" i="34"/>
  <c r="U643" i="34"/>
  <c r="U652" i="34"/>
  <c r="U659" i="34"/>
  <c r="U661" i="34"/>
  <c r="U667" i="34"/>
  <c r="U669" i="34"/>
  <c r="U674" i="34"/>
  <c r="U680" i="34"/>
  <c r="U684" i="34"/>
  <c r="U686" i="34"/>
  <c r="U688" i="34"/>
  <c r="U695" i="34"/>
  <c r="U702" i="34"/>
  <c r="U711" i="34"/>
  <c r="U722" i="34"/>
  <c r="U725" i="34"/>
  <c r="U728" i="34"/>
  <c r="U742" i="34"/>
  <c r="U746" i="34"/>
  <c r="U755" i="34"/>
  <c r="U760" i="34"/>
  <c r="U764" i="34"/>
  <c r="U770" i="34"/>
  <c r="U777" i="34"/>
  <c r="V20" i="34"/>
  <c r="V25" i="34"/>
  <c r="V33" i="34"/>
  <c r="V39" i="34"/>
  <c r="V45" i="34"/>
  <c r="V51" i="34"/>
  <c r="V69" i="34"/>
  <c r="V72" i="34"/>
  <c r="V76" i="34"/>
  <c r="V79" i="34"/>
  <c r="V91" i="34"/>
  <c r="V105" i="34"/>
  <c r="V116" i="34"/>
  <c r="V127" i="34"/>
  <c r="V129" i="34"/>
  <c r="V131" i="34"/>
  <c r="V137" i="34"/>
  <c r="V144" i="34"/>
  <c r="V165" i="34"/>
  <c r="V172" i="34"/>
  <c r="V180" i="34"/>
  <c r="V184" i="34"/>
  <c r="V186" i="34"/>
  <c r="V197" i="34"/>
  <c r="V201" i="34"/>
  <c r="V209" i="34"/>
  <c r="V215" i="34"/>
  <c r="V219" i="34"/>
  <c r="V221" i="34"/>
  <c r="V226" i="34"/>
  <c r="V232" i="34"/>
  <c r="V241" i="34"/>
  <c r="V248" i="34"/>
  <c r="V250" i="34"/>
  <c r="V262" i="34"/>
  <c r="V266" i="34"/>
  <c r="V274" i="34"/>
  <c r="V282" i="34"/>
  <c r="V288" i="34"/>
  <c r="V291" i="34"/>
  <c r="V303" i="34"/>
  <c r="V312" i="34"/>
  <c r="V323" i="34"/>
  <c r="V331" i="34"/>
  <c r="V341" i="34"/>
  <c r="V344" i="34"/>
  <c r="V352" i="34"/>
  <c r="V358" i="34"/>
  <c r="V360" i="34"/>
  <c r="V362" i="34"/>
  <c r="V368" i="34"/>
  <c r="V378" i="34"/>
  <c r="V381" i="34"/>
  <c r="V382" i="34"/>
  <c r="V390" i="34"/>
  <c r="V391" i="34"/>
  <c r="V398" i="34"/>
  <c r="V405" i="34"/>
  <c r="V408" i="34"/>
  <c r="V416" i="34"/>
  <c r="V424" i="34"/>
  <c r="V432" i="34"/>
  <c r="V440" i="34"/>
  <c r="V449" i="34"/>
  <c r="V456" i="34"/>
  <c r="V466" i="34"/>
  <c r="V475" i="34"/>
  <c r="V487" i="34"/>
  <c r="V491" i="34"/>
  <c r="V500" i="34"/>
  <c r="V506" i="34"/>
  <c r="V513" i="34"/>
  <c r="V521" i="34"/>
  <c r="V526" i="34"/>
  <c r="V535" i="34"/>
  <c r="V539" i="34"/>
  <c r="V541" i="34"/>
  <c r="V548" i="34"/>
  <c r="V551" i="34"/>
  <c r="V554" i="34"/>
  <c r="V565" i="34"/>
  <c r="V571" i="34"/>
  <c r="V573" i="34"/>
  <c r="V574" i="34"/>
  <c r="V578" i="34"/>
  <c r="V581" i="34"/>
  <c r="V583" i="34"/>
  <c r="V588" i="34"/>
  <c r="V601" i="34"/>
  <c r="V605" i="34"/>
  <c r="V606" i="34"/>
  <c r="V609" i="34"/>
  <c r="V613" i="34"/>
  <c r="V617" i="34"/>
  <c r="V621" i="34"/>
  <c r="V625" i="34"/>
  <c r="V628" i="34"/>
  <c r="V637" i="34"/>
  <c r="V643" i="34"/>
  <c r="V652" i="34"/>
  <c r="V659" i="34"/>
  <c r="V661" i="34"/>
  <c r="V667" i="34"/>
  <c r="V669" i="34"/>
  <c r="V674" i="34"/>
  <c r="V680" i="34"/>
  <c r="V684" i="34"/>
  <c r="V686" i="34"/>
  <c r="V688" i="34"/>
  <c r="V695" i="34"/>
  <c r="V702" i="34"/>
  <c r="V711" i="34"/>
  <c r="V722" i="34"/>
  <c r="V725" i="34"/>
  <c r="V728" i="34"/>
  <c r="V742" i="34"/>
  <c r="V746" i="34"/>
  <c r="V755" i="34"/>
  <c r="V760" i="34"/>
  <c r="V764" i="34"/>
  <c r="V770" i="34"/>
  <c r="V777" i="34"/>
  <c r="W20" i="34"/>
  <c r="W25" i="34"/>
  <c r="W33" i="34"/>
  <c r="W39" i="34"/>
  <c r="W45" i="34"/>
  <c r="W51" i="34"/>
  <c r="W69" i="34"/>
  <c r="W72" i="34"/>
  <c r="W76" i="34"/>
  <c r="W79" i="34"/>
  <c r="W91" i="34"/>
  <c r="W105" i="34"/>
  <c r="W116" i="34"/>
  <c r="W127" i="34"/>
  <c r="W129" i="34"/>
  <c r="W131" i="34"/>
  <c r="W137" i="34"/>
  <c r="W144" i="34"/>
  <c r="W165" i="34"/>
  <c r="W172" i="34"/>
  <c r="W180" i="34"/>
  <c r="W184" i="34"/>
  <c r="W186" i="34"/>
  <c r="W197" i="34"/>
  <c r="W201" i="34"/>
  <c r="W209" i="34"/>
  <c r="W215" i="34"/>
  <c r="W219" i="34"/>
  <c r="W221" i="34"/>
  <c r="W226" i="34"/>
  <c r="W232" i="34"/>
  <c r="W241" i="34"/>
  <c r="W248" i="34"/>
  <c r="W250" i="34"/>
  <c r="W262" i="34"/>
  <c r="W266" i="34"/>
  <c r="W274" i="34"/>
  <c r="W282" i="34"/>
  <c r="W288" i="34"/>
  <c r="W291" i="34"/>
  <c r="W303" i="34"/>
  <c r="W312" i="34"/>
  <c r="W323" i="34"/>
  <c r="W331" i="34"/>
  <c r="W341" i="34"/>
  <c r="W344" i="34"/>
  <c r="W352" i="34"/>
  <c r="W358" i="34"/>
  <c r="W360" i="34"/>
  <c r="W362" i="34"/>
  <c r="W368" i="34"/>
  <c r="W378" i="34"/>
  <c r="W381" i="34"/>
  <c r="W382" i="34"/>
  <c r="W390" i="34"/>
  <c r="W391" i="34"/>
  <c r="W398" i="34"/>
  <c r="W405" i="34"/>
  <c r="W408" i="34"/>
  <c r="W416" i="34"/>
  <c r="W424" i="34"/>
  <c r="W432" i="34"/>
  <c r="W440" i="34"/>
  <c r="W449" i="34"/>
  <c r="W456" i="34"/>
  <c r="W466" i="34"/>
  <c r="W475" i="34"/>
  <c r="W487" i="34"/>
  <c r="W491" i="34"/>
  <c r="W500" i="34"/>
  <c r="W506" i="34"/>
  <c r="W513" i="34"/>
  <c r="W521" i="34"/>
  <c r="W526" i="34"/>
  <c r="W535" i="34"/>
  <c r="W539" i="34"/>
  <c r="W541" i="34"/>
  <c r="W548" i="34"/>
  <c r="W551" i="34"/>
  <c r="W554" i="34"/>
  <c r="W565" i="34"/>
  <c r="W571" i="34"/>
  <c r="W573" i="34"/>
  <c r="W574" i="34"/>
  <c r="W578" i="34"/>
  <c r="W581" i="34"/>
  <c r="W583" i="34"/>
  <c r="W588" i="34"/>
  <c r="W601" i="34"/>
  <c r="W605" i="34"/>
  <c r="W606" i="34"/>
  <c r="W609" i="34"/>
  <c r="W613" i="34"/>
  <c r="W617" i="34"/>
  <c r="W621" i="34"/>
  <c r="W625" i="34"/>
  <c r="W628" i="34"/>
  <c r="W637" i="34"/>
  <c r="W643" i="34"/>
  <c r="W652" i="34"/>
  <c r="W659" i="34"/>
  <c r="W661" i="34"/>
  <c r="W667" i="34"/>
  <c r="W669" i="34"/>
  <c r="W674" i="34"/>
  <c r="W680" i="34"/>
  <c r="W684" i="34"/>
  <c r="W686" i="34"/>
  <c r="W688" i="34"/>
  <c r="W695" i="34"/>
  <c r="W702" i="34"/>
  <c r="W711" i="34"/>
  <c r="W722" i="34"/>
  <c r="W725" i="34"/>
  <c r="W728" i="34"/>
  <c r="W742" i="34"/>
  <c r="W746" i="34"/>
  <c r="W755" i="34"/>
  <c r="W760" i="34"/>
  <c r="W764" i="34"/>
  <c r="W770" i="34"/>
  <c r="W777" i="34"/>
  <c r="X20" i="34"/>
  <c r="X25" i="34"/>
  <c r="X33" i="34"/>
  <c r="X39" i="34"/>
  <c r="X45" i="34"/>
  <c r="X51" i="34"/>
  <c r="X69" i="34"/>
  <c r="X72" i="34"/>
  <c r="X76" i="34"/>
  <c r="X79" i="34"/>
  <c r="X91" i="34"/>
  <c r="X105" i="34"/>
  <c r="X116" i="34"/>
  <c r="X127" i="34"/>
  <c r="X129" i="34"/>
  <c r="X131" i="34"/>
  <c r="X137" i="34"/>
  <c r="X144" i="34"/>
  <c r="X165" i="34"/>
  <c r="X172" i="34"/>
  <c r="X180" i="34"/>
  <c r="X184" i="34"/>
  <c r="X186" i="34"/>
  <c r="X197" i="34"/>
  <c r="X201" i="34"/>
  <c r="X209" i="34"/>
  <c r="X215" i="34"/>
  <c r="X219" i="34"/>
  <c r="X221" i="34"/>
  <c r="X226" i="34"/>
  <c r="X232" i="34"/>
  <c r="X241" i="34"/>
  <c r="X248" i="34"/>
  <c r="X250" i="34"/>
  <c r="X262" i="34"/>
  <c r="X266" i="34"/>
  <c r="X274" i="34"/>
  <c r="X282" i="34"/>
  <c r="X288" i="34"/>
  <c r="X291" i="34"/>
  <c r="X303" i="34"/>
  <c r="X312" i="34"/>
  <c r="X323" i="34"/>
  <c r="X331" i="34"/>
  <c r="X341" i="34"/>
  <c r="X344" i="34"/>
  <c r="X352" i="34"/>
  <c r="X358" i="34"/>
  <c r="X360" i="34"/>
  <c r="X362" i="34"/>
  <c r="X368" i="34"/>
  <c r="X378" i="34"/>
  <c r="X381" i="34"/>
  <c r="X382" i="34"/>
  <c r="X390" i="34"/>
  <c r="X391" i="34"/>
  <c r="X398" i="34"/>
  <c r="X405" i="34"/>
  <c r="X408" i="34"/>
  <c r="X416" i="34"/>
  <c r="X424" i="34"/>
  <c r="X432" i="34"/>
  <c r="X440" i="34"/>
  <c r="X449" i="34"/>
  <c r="X456" i="34"/>
  <c r="X466" i="34"/>
  <c r="X475" i="34"/>
  <c r="X487" i="34"/>
  <c r="X491" i="34"/>
  <c r="X500" i="34"/>
  <c r="X506" i="34"/>
  <c r="X513" i="34"/>
  <c r="X521" i="34"/>
  <c r="X526" i="34"/>
  <c r="X535" i="34"/>
  <c r="X539" i="34"/>
  <c r="X541" i="34"/>
  <c r="X548" i="34"/>
  <c r="X551" i="34"/>
  <c r="X554" i="34"/>
  <c r="X565" i="34"/>
  <c r="X571" i="34"/>
  <c r="X573" i="34"/>
  <c r="X574" i="34"/>
  <c r="X578" i="34"/>
  <c r="X581" i="34"/>
  <c r="X583" i="34"/>
  <c r="X588" i="34"/>
  <c r="X601" i="34"/>
  <c r="X605" i="34"/>
  <c r="X606" i="34"/>
  <c r="X609" i="34"/>
  <c r="X613" i="34"/>
  <c r="X617" i="34"/>
  <c r="X621" i="34"/>
  <c r="X625" i="34"/>
  <c r="X628" i="34"/>
  <c r="X637" i="34"/>
  <c r="X643" i="34"/>
  <c r="X652" i="34"/>
  <c r="X659" i="34"/>
  <c r="X661" i="34"/>
  <c r="X667" i="34"/>
  <c r="X669" i="34"/>
  <c r="X674" i="34"/>
  <c r="X680" i="34"/>
  <c r="X684" i="34"/>
  <c r="X686" i="34"/>
  <c r="X688" i="34"/>
  <c r="X695" i="34"/>
  <c r="X702" i="34"/>
  <c r="X711" i="34"/>
  <c r="X722" i="34"/>
  <c r="X725" i="34"/>
  <c r="X728" i="34"/>
  <c r="X742" i="34"/>
  <c r="X746" i="34"/>
  <c r="X755" i="34"/>
  <c r="X760" i="34"/>
  <c r="X764" i="34"/>
  <c r="X770" i="34"/>
  <c r="X777" i="34"/>
  <c r="Y20" i="34"/>
  <c r="Y25" i="34"/>
  <c r="Y33" i="34"/>
  <c r="Y39" i="34"/>
  <c r="Y45" i="34"/>
  <c r="Y51" i="34"/>
  <c r="Y69" i="34"/>
  <c r="Y72" i="34"/>
  <c r="Y76" i="34"/>
  <c r="Y79" i="34"/>
  <c r="Y91" i="34"/>
  <c r="Y105" i="34"/>
  <c r="Y116" i="34"/>
  <c r="Y127" i="34"/>
  <c r="Y129" i="34"/>
  <c r="Y131" i="34"/>
  <c r="Y137" i="34"/>
  <c r="Y144" i="34"/>
  <c r="Y165" i="34"/>
  <c r="Y172" i="34"/>
  <c r="Y180" i="34"/>
  <c r="Y184" i="34"/>
  <c r="Y186" i="34"/>
  <c r="Y197" i="34"/>
  <c r="Y201" i="34"/>
  <c r="Y209" i="34"/>
  <c r="Y215" i="34"/>
  <c r="Y219" i="34"/>
  <c r="Y221" i="34"/>
  <c r="Y226" i="34"/>
  <c r="Y232" i="34"/>
  <c r="Y241" i="34"/>
  <c r="Y248" i="34"/>
  <c r="Y250" i="34"/>
  <c r="Y262" i="34"/>
  <c r="Y266" i="34"/>
  <c r="Y274" i="34"/>
  <c r="Y282" i="34"/>
  <c r="Y288" i="34"/>
  <c r="Y291" i="34"/>
  <c r="Y303" i="34"/>
  <c r="Y312" i="34"/>
  <c r="Y323" i="34"/>
  <c r="Y331" i="34"/>
  <c r="Y341" i="34"/>
  <c r="Y344" i="34"/>
  <c r="Y352" i="34"/>
  <c r="Y358" i="34"/>
  <c r="Y360" i="34"/>
  <c r="Y362" i="34"/>
  <c r="Y368" i="34"/>
  <c r="Y378" i="34"/>
  <c r="Y381" i="34"/>
  <c r="Y382" i="34"/>
  <c r="Y390" i="34"/>
  <c r="Y391" i="34"/>
  <c r="Y398" i="34"/>
  <c r="Y405" i="34"/>
  <c r="Y408" i="34"/>
  <c r="Y416" i="34"/>
  <c r="Y424" i="34"/>
  <c r="Y432" i="34"/>
  <c r="Y440" i="34"/>
  <c r="Y449" i="34"/>
  <c r="Y456" i="34"/>
  <c r="Y466" i="34"/>
  <c r="Y475" i="34"/>
  <c r="Y487" i="34"/>
  <c r="Y491" i="34"/>
  <c r="Y500" i="34"/>
  <c r="Y506" i="34"/>
  <c r="Y513" i="34"/>
  <c r="Y521" i="34"/>
  <c r="Y526" i="34"/>
  <c r="Y535" i="34"/>
  <c r="Y539" i="34"/>
  <c r="Y541" i="34"/>
  <c r="Y548" i="34"/>
  <c r="Y551" i="34"/>
  <c r="Y554" i="34"/>
  <c r="Y565" i="34"/>
  <c r="Y571" i="34"/>
  <c r="Y573" i="34"/>
  <c r="Y574" i="34"/>
  <c r="Y578" i="34"/>
  <c r="Y581" i="34"/>
  <c r="Y583" i="34"/>
  <c r="Y588" i="34"/>
  <c r="Y601" i="34"/>
  <c r="Y605" i="34"/>
  <c r="Y606" i="34"/>
  <c r="Y609" i="34"/>
  <c r="Y613" i="34"/>
  <c r="Y617" i="34"/>
  <c r="Y621" i="34"/>
  <c r="Y625" i="34"/>
  <c r="Y628" i="34"/>
  <c r="Y637" i="34"/>
  <c r="Y643" i="34"/>
  <c r="Y652" i="34"/>
  <c r="Y659" i="34"/>
  <c r="Y661" i="34"/>
  <c r="Y667" i="34"/>
  <c r="Y669" i="34"/>
  <c r="Y674" i="34"/>
  <c r="Y680" i="34"/>
  <c r="Y684" i="34"/>
  <c r="Y686" i="34"/>
  <c r="Y688" i="34"/>
  <c r="Y695" i="34"/>
  <c r="Y702" i="34"/>
  <c r="Y711" i="34"/>
  <c r="Y722" i="34"/>
  <c r="Y725" i="34"/>
  <c r="Y728" i="34"/>
  <c r="Y742" i="34"/>
  <c r="Y746" i="34"/>
  <c r="Y755" i="34"/>
  <c r="Y760" i="34"/>
  <c r="Y764" i="34"/>
  <c r="Y770" i="34"/>
  <c r="Y777" i="34"/>
  <c r="Z20" i="34"/>
  <c r="Z25" i="34"/>
  <c r="Z33" i="34"/>
  <c r="Z39" i="34"/>
  <c r="Z45" i="34"/>
  <c r="Z51" i="34"/>
  <c r="Z69" i="34"/>
  <c r="Z72" i="34"/>
  <c r="Z76" i="34"/>
  <c r="Z79" i="34"/>
  <c r="Z91" i="34"/>
  <c r="Z105" i="34"/>
  <c r="Z116" i="34"/>
  <c r="Z127" i="34"/>
  <c r="Z129" i="34"/>
  <c r="Z131" i="34"/>
  <c r="Z137" i="34"/>
  <c r="Z144" i="34"/>
  <c r="Z165" i="34"/>
  <c r="Z172" i="34"/>
  <c r="Z180" i="34"/>
  <c r="Z184" i="34"/>
  <c r="Z186" i="34"/>
  <c r="Z197" i="34"/>
  <c r="Z201" i="34"/>
  <c r="Z209" i="34"/>
  <c r="Z215" i="34"/>
  <c r="Z219" i="34"/>
  <c r="Z221" i="34"/>
  <c r="Z226" i="34"/>
  <c r="Z232" i="34"/>
  <c r="Z241" i="34"/>
  <c r="Z248" i="34"/>
  <c r="Z250" i="34"/>
  <c r="Z262" i="34"/>
  <c r="Z266" i="34"/>
  <c r="Z274" i="34"/>
  <c r="Z282" i="34"/>
  <c r="Z288" i="34"/>
  <c r="Z291" i="34"/>
  <c r="Z303" i="34"/>
  <c r="Z312" i="34"/>
  <c r="Z323" i="34"/>
  <c r="Z331" i="34"/>
  <c r="Z341" i="34"/>
  <c r="Z344" i="34"/>
  <c r="Z352" i="34"/>
  <c r="Z358" i="34"/>
  <c r="Z360" i="34"/>
  <c r="Z362" i="34"/>
  <c r="Z368" i="34"/>
  <c r="Z378" i="34"/>
  <c r="Z381" i="34"/>
  <c r="Z382" i="34"/>
  <c r="Z390" i="34"/>
  <c r="Z391" i="34"/>
  <c r="Z398" i="34"/>
  <c r="Z405" i="34"/>
  <c r="Z408" i="34"/>
  <c r="Z416" i="34"/>
  <c r="Z424" i="34"/>
  <c r="Z432" i="34"/>
  <c r="Z440" i="34"/>
  <c r="Z449" i="34"/>
  <c r="Z456" i="34"/>
  <c r="Z466" i="34"/>
  <c r="Z475" i="34"/>
  <c r="Z487" i="34"/>
  <c r="Z491" i="34"/>
  <c r="Z500" i="34"/>
  <c r="Z506" i="34"/>
  <c r="Z513" i="34"/>
  <c r="Z521" i="34"/>
  <c r="Z526" i="34"/>
  <c r="Z535" i="34"/>
  <c r="Z539" i="34"/>
  <c r="Z541" i="34"/>
  <c r="Z548" i="34"/>
  <c r="Z551" i="34"/>
  <c r="Z554" i="34"/>
  <c r="Z565" i="34"/>
  <c r="Z571" i="34"/>
  <c r="Z573" i="34"/>
  <c r="Z574" i="34"/>
  <c r="Z578" i="34"/>
  <c r="Z581" i="34"/>
  <c r="Z583" i="34"/>
  <c r="Z588" i="34"/>
  <c r="Z601" i="34"/>
  <c r="Z605" i="34"/>
  <c r="Z606" i="34"/>
  <c r="Z609" i="34"/>
  <c r="Z613" i="34"/>
  <c r="Z617" i="34"/>
  <c r="Z621" i="34"/>
  <c r="Z625" i="34"/>
  <c r="Z628" i="34"/>
  <c r="Z637" i="34"/>
  <c r="Z643" i="34"/>
  <c r="Z652" i="34"/>
  <c r="Z659" i="34"/>
  <c r="Z661" i="34"/>
  <c r="Z667" i="34"/>
  <c r="Z669" i="34"/>
  <c r="Z674" i="34"/>
  <c r="Z680" i="34"/>
  <c r="Z684" i="34"/>
  <c r="Z686" i="34"/>
  <c r="Z688" i="34"/>
  <c r="Z695" i="34"/>
  <c r="Z702" i="34"/>
  <c r="Z711" i="34"/>
  <c r="Z722" i="34"/>
  <c r="Z725" i="34"/>
  <c r="Z728" i="34"/>
  <c r="Z742" i="34"/>
  <c r="Z746" i="34"/>
  <c r="Z755" i="34"/>
  <c r="Z760" i="34"/>
  <c r="Z764" i="34"/>
  <c r="Z770" i="34"/>
  <c r="Z777" i="34"/>
  <c r="AA20" i="34"/>
  <c r="AA25" i="34"/>
  <c r="AA33" i="34"/>
  <c r="AA39" i="34"/>
  <c r="AA45" i="34"/>
  <c r="AA51" i="34"/>
  <c r="AA69" i="34"/>
  <c r="AA72" i="34"/>
  <c r="AA76" i="34"/>
  <c r="AA79" i="34"/>
  <c r="AA91" i="34"/>
  <c r="AA105" i="34"/>
  <c r="AA116" i="34"/>
  <c r="AA127" i="34"/>
  <c r="AA129" i="34"/>
  <c r="AA131" i="34"/>
  <c r="AA137" i="34"/>
  <c r="AA144" i="34"/>
  <c r="AA165" i="34"/>
  <c r="AA172" i="34"/>
  <c r="AA180" i="34"/>
  <c r="AA184" i="34"/>
  <c r="AA186" i="34"/>
  <c r="AA197" i="34"/>
  <c r="AA201" i="34"/>
  <c r="AA209" i="34"/>
  <c r="AA215" i="34"/>
  <c r="AA219" i="34"/>
  <c r="AA221" i="34"/>
  <c r="AA226" i="34"/>
  <c r="AA232" i="34"/>
  <c r="AA241" i="34"/>
  <c r="AA248" i="34"/>
  <c r="AA250" i="34"/>
  <c r="AA262" i="34"/>
  <c r="AA266" i="34"/>
  <c r="AA274" i="34"/>
  <c r="AA282" i="34"/>
  <c r="AA288" i="34"/>
  <c r="AA291" i="34"/>
  <c r="AA303" i="34"/>
  <c r="AA312" i="34"/>
  <c r="AA323" i="34"/>
  <c r="AA331" i="34"/>
  <c r="AA341" i="34"/>
  <c r="AA344" i="34"/>
  <c r="AA352" i="34"/>
  <c r="AA358" i="34"/>
  <c r="AA360" i="34"/>
  <c r="AA362" i="34"/>
  <c r="AA368" i="34"/>
  <c r="AA378" i="34"/>
  <c r="AA381" i="34"/>
  <c r="AA382" i="34"/>
  <c r="AA390" i="34"/>
  <c r="AA391" i="34"/>
  <c r="AA398" i="34"/>
  <c r="AA405" i="34"/>
  <c r="AA408" i="34"/>
  <c r="AA416" i="34"/>
  <c r="AA424" i="34"/>
  <c r="AA432" i="34"/>
  <c r="AA440" i="34"/>
  <c r="AA449" i="34"/>
  <c r="AA456" i="34"/>
  <c r="AA466" i="34"/>
  <c r="AA475" i="34"/>
  <c r="AA487" i="34"/>
  <c r="AA491" i="34"/>
  <c r="AA500" i="34"/>
  <c r="AA506" i="34"/>
  <c r="AA513" i="34"/>
  <c r="AA521" i="34"/>
  <c r="AA526" i="34"/>
  <c r="AA535" i="34"/>
  <c r="AA539" i="34"/>
  <c r="AA541" i="34"/>
  <c r="AA548" i="34"/>
  <c r="AA551" i="34"/>
  <c r="AA554" i="34"/>
  <c r="AA565" i="34"/>
  <c r="AA571" i="34"/>
  <c r="AA573" i="34"/>
  <c r="AA574" i="34"/>
  <c r="AA578" i="34"/>
  <c r="AA581" i="34"/>
  <c r="AA583" i="34"/>
  <c r="AA588" i="34"/>
  <c r="AA601" i="34"/>
  <c r="AA605" i="34"/>
  <c r="AA606" i="34"/>
  <c r="AA609" i="34"/>
  <c r="AA613" i="34"/>
  <c r="AA617" i="34"/>
  <c r="AA621" i="34"/>
  <c r="AA625" i="34"/>
  <c r="AA628" i="34"/>
  <c r="AA637" i="34"/>
  <c r="AA643" i="34"/>
  <c r="AA652" i="34"/>
  <c r="AA659" i="34"/>
  <c r="AA661" i="34"/>
  <c r="AA667" i="34"/>
  <c r="AA669" i="34"/>
  <c r="AA674" i="34"/>
  <c r="AA680" i="34"/>
  <c r="AA684" i="34"/>
  <c r="AA686" i="34"/>
  <c r="AA688" i="34"/>
  <c r="AA695" i="34"/>
  <c r="AA702" i="34"/>
  <c r="AA711" i="34"/>
  <c r="AA722" i="34"/>
  <c r="AA725" i="34"/>
  <c r="AA728" i="34"/>
  <c r="AA742" i="34"/>
  <c r="AA746" i="34"/>
  <c r="AA755" i="34"/>
  <c r="AA760" i="34"/>
  <c r="AA764" i="34"/>
  <c r="AA770" i="34"/>
  <c r="AA777" i="34"/>
  <c r="AB20" i="34"/>
  <c r="AB25" i="34"/>
  <c r="AB33" i="34"/>
  <c r="AB39" i="34"/>
  <c r="AB45" i="34"/>
  <c r="AB51" i="34"/>
  <c r="AB69" i="34"/>
  <c r="AB72" i="34"/>
  <c r="AB76" i="34"/>
  <c r="AB79" i="34"/>
  <c r="AB91" i="34"/>
  <c r="AB105" i="34"/>
  <c r="AB116" i="34"/>
  <c r="AB127" i="34"/>
  <c r="AB129" i="34"/>
  <c r="AB131" i="34"/>
  <c r="AB137" i="34"/>
  <c r="AB144" i="34"/>
  <c r="AB165" i="34"/>
  <c r="AB172" i="34"/>
  <c r="AB180" i="34"/>
  <c r="AB184" i="34"/>
  <c r="AB186" i="34"/>
  <c r="AB197" i="34"/>
  <c r="AB201" i="34"/>
  <c r="AB209" i="34"/>
  <c r="AB215" i="34"/>
  <c r="AB219" i="34"/>
  <c r="AB221" i="34"/>
  <c r="AB226" i="34"/>
  <c r="AB232" i="34"/>
  <c r="AB241" i="34"/>
  <c r="AB248" i="34"/>
  <c r="AB250" i="34"/>
  <c r="AB262" i="34"/>
  <c r="AB266" i="34"/>
  <c r="AB274" i="34"/>
  <c r="AB282" i="34"/>
  <c r="AB288" i="34"/>
  <c r="AB291" i="34"/>
  <c r="AB303" i="34"/>
  <c r="AB312" i="34"/>
  <c r="AB323" i="34"/>
  <c r="AB331" i="34"/>
  <c r="AB341" i="34"/>
  <c r="AB344" i="34"/>
  <c r="AB352" i="34"/>
  <c r="AB358" i="34"/>
  <c r="AB360" i="34"/>
  <c r="AB362" i="34"/>
  <c r="AB368" i="34"/>
  <c r="AB378" i="34"/>
  <c r="AB381" i="34"/>
  <c r="AB382" i="34"/>
  <c r="AB390" i="34"/>
  <c r="AB391" i="34"/>
  <c r="AB398" i="34"/>
  <c r="AB405" i="34"/>
  <c r="AB408" i="34"/>
  <c r="AB416" i="34"/>
  <c r="AB424" i="34"/>
  <c r="AB432" i="34"/>
  <c r="AB440" i="34"/>
  <c r="AB449" i="34"/>
  <c r="AB456" i="34"/>
  <c r="AB466" i="34"/>
  <c r="AB475" i="34"/>
  <c r="AB487" i="34"/>
  <c r="AB491" i="34"/>
  <c r="AB500" i="34"/>
  <c r="AB506" i="34"/>
  <c r="AB513" i="34"/>
  <c r="AB521" i="34"/>
  <c r="AB526" i="34"/>
  <c r="AB535" i="34"/>
  <c r="AB539" i="34"/>
  <c r="AB541" i="34"/>
  <c r="AB548" i="34"/>
  <c r="AB551" i="34"/>
  <c r="AB554" i="34"/>
  <c r="AB565" i="34"/>
  <c r="AB571" i="34"/>
  <c r="AB573" i="34"/>
  <c r="AB574" i="34"/>
  <c r="AB578" i="34"/>
  <c r="AB581" i="34"/>
  <c r="AB583" i="34"/>
  <c r="AB588" i="34"/>
  <c r="AB601" i="34"/>
  <c r="AB605" i="34"/>
  <c r="AB606" i="34"/>
  <c r="AB609" i="34"/>
  <c r="AB613" i="34"/>
  <c r="AB617" i="34"/>
  <c r="AB621" i="34"/>
  <c r="AB625" i="34"/>
  <c r="AB628" i="34"/>
  <c r="AB637" i="34"/>
  <c r="AB643" i="34"/>
  <c r="AB652" i="34"/>
  <c r="AB659" i="34"/>
  <c r="AB661" i="34"/>
  <c r="AB667" i="34"/>
  <c r="AB669" i="34"/>
  <c r="AB674" i="34"/>
  <c r="AB680" i="34"/>
  <c r="AB684" i="34"/>
  <c r="AB686" i="34"/>
  <c r="AB688" i="34"/>
  <c r="AB695" i="34"/>
  <c r="AB702" i="34"/>
  <c r="AB711" i="34"/>
  <c r="AB722" i="34"/>
  <c r="AB725" i="34"/>
  <c r="AB728" i="34"/>
  <c r="AB742" i="34"/>
  <c r="AB746" i="34"/>
  <c r="AB755" i="34"/>
  <c r="AB760" i="34"/>
  <c r="AB764" i="34"/>
  <c r="AB770" i="34"/>
  <c r="AB777" i="34"/>
  <c r="AC20" i="34"/>
  <c r="AC25" i="34"/>
  <c r="AC33" i="34"/>
  <c r="AC39" i="34"/>
  <c r="AC45" i="34"/>
  <c r="AC51" i="34"/>
  <c r="AC69" i="34"/>
  <c r="AC72" i="34"/>
  <c r="AC76" i="34"/>
  <c r="AC79" i="34"/>
  <c r="AC91" i="34"/>
  <c r="AC105" i="34"/>
  <c r="AC116" i="34"/>
  <c r="AC127" i="34"/>
  <c r="AC129" i="34"/>
  <c r="AC131" i="34"/>
  <c r="AC137" i="34"/>
  <c r="AC144" i="34"/>
  <c r="AC165" i="34"/>
  <c r="AC172" i="34"/>
  <c r="AC180" i="34"/>
  <c r="AC184" i="34"/>
  <c r="AC186" i="34"/>
  <c r="AC197" i="34"/>
  <c r="AC201" i="34"/>
  <c r="AC209" i="34"/>
  <c r="AC215" i="34"/>
  <c r="AC219" i="34"/>
  <c r="AC221" i="34"/>
  <c r="AC226" i="34"/>
  <c r="AC232" i="34"/>
  <c r="AC241" i="34"/>
  <c r="AC248" i="34"/>
  <c r="AC250" i="34"/>
  <c r="AC262" i="34"/>
  <c r="AC266" i="34"/>
  <c r="AC274" i="34"/>
  <c r="AC282" i="34"/>
  <c r="AC288" i="34"/>
  <c r="AC291" i="34"/>
  <c r="AC303" i="34"/>
  <c r="AC312" i="34"/>
  <c r="AC323" i="34"/>
  <c r="AC331" i="34"/>
  <c r="AC341" i="34"/>
  <c r="AC344" i="34"/>
  <c r="AC352" i="34"/>
  <c r="AC358" i="34"/>
  <c r="AC360" i="34"/>
  <c r="AC362" i="34"/>
  <c r="AC368" i="34"/>
  <c r="AC378" i="34"/>
  <c r="AC381" i="34"/>
  <c r="AC382" i="34"/>
  <c r="AC390" i="34"/>
  <c r="AC391" i="34"/>
  <c r="AC398" i="34"/>
  <c r="AC405" i="34"/>
  <c r="AC408" i="34"/>
  <c r="AC416" i="34"/>
  <c r="AC424" i="34"/>
  <c r="AC432" i="34"/>
  <c r="AC440" i="34"/>
  <c r="AC449" i="34"/>
  <c r="AC456" i="34"/>
  <c r="AC466" i="34"/>
  <c r="AC475" i="34"/>
  <c r="AC487" i="34"/>
  <c r="AC491" i="34"/>
  <c r="AC500" i="34"/>
  <c r="AC506" i="34"/>
  <c r="AC513" i="34"/>
  <c r="AC521" i="34"/>
  <c r="AC526" i="34"/>
  <c r="AC535" i="34"/>
  <c r="AC539" i="34"/>
  <c r="AC541" i="34"/>
  <c r="AC548" i="34"/>
  <c r="AC551" i="34"/>
  <c r="AC554" i="34"/>
  <c r="AC565" i="34"/>
  <c r="AC571" i="34"/>
  <c r="AC573" i="34"/>
  <c r="AC574" i="34"/>
  <c r="AC578" i="34"/>
  <c r="AC581" i="34"/>
  <c r="AC583" i="34"/>
  <c r="AC588" i="34"/>
  <c r="AC601" i="34"/>
  <c r="AC605" i="34"/>
  <c r="AC606" i="34"/>
  <c r="AC609" i="34"/>
  <c r="AC613" i="34"/>
  <c r="AC617" i="34"/>
  <c r="AC621" i="34"/>
  <c r="AC625" i="34"/>
  <c r="AC628" i="34"/>
  <c r="AC637" i="34"/>
  <c r="AC643" i="34"/>
  <c r="AC652" i="34"/>
  <c r="AC659" i="34"/>
  <c r="AC661" i="34"/>
  <c r="AC667" i="34"/>
  <c r="AC669" i="34"/>
  <c r="AC674" i="34"/>
  <c r="AC680" i="34"/>
  <c r="AC684" i="34"/>
  <c r="AC686" i="34"/>
  <c r="AC688" i="34"/>
  <c r="AC695" i="34"/>
  <c r="AC702" i="34"/>
  <c r="AC711" i="34"/>
  <c r="AC722" i="34"/>
  <c r="AC725" i="34"/>
  <c r="AC728" i="34"/>
  <c r="AC742" i="34"/>
  <c r="AC746" i="34"/>
  <c r="AC755" i="34"/>
  <c r="AC760" i="34"/>
  <c r="AC764" i="34"/>
  <c r="AC770" i="34"/>
  <c r="AC777" i="34"/>
  <c r="AD20" i="34"/>
  <c r="AD25" i="34"/>
  <c r="AD33" i="34"/>
  <c r="AD39" i="34"/>
  <c r="AD45" i="34"/>
  <c r="AD51" i="34"/>
  <c r="AD69" i="34"/>
  <c r="AD72" i="34"/>
  <c r="AD76" i="34"/>
  <c r="AD79" i="34"/>
  <c r="AD91" i="34"/>
  <c r="AD105" i="34"/>
  <c r="AD116" i="34"/>
  <c r="AD127" i="34"/>
  <c r="AD129" i="34"/>
  <c r="AD131" i="34"/>
  <c r="AD137" i="34"/>
  <c r="AD144" i="34"/>
  <c r="AD165" i="34"/>
  <c r="AD172" i="34"/>
  <c r="AD180" i="34"/>
  <c r="AD184" i="34"/>
  <c r="AD186" i="34"/>
  <c r="AD197" i="34"/>
  <c r="AD201" i="34"/>
  <c r="AD209" i="34"/>
  <c r="AD215" i="34"/>
  <c r="AD219" i="34"/>
  <c r="AD221" i="34"/>
  <c r="AD226" i="34"/>
  <c r="AD232" i="34"/>
  <c r="AD241" i="34"/>
  <c r="AD248" i="34"/>
  <c r="AD250" i="34"/>
  <c r="AD262" i="34"/>
  <c r="AD266" i="34"/>
  <c r="AD274" i="34"/>
  <c r="AD282" i="34"/>
  <c r="AD288" i="34"/>
  <c r="AD291" i="34"/>
  <c r="AD303" i="34"/>
  <c r="AD312" i="34"/>
  <c r="AD323" i="34"/>
  <c r="AD331" i="34"/>
  <c r="AD341" i="34"/>
  <c r="AD344" i="34"/>
  <c r="AD352" i="34"/>
  <c r="AD358" i="34"/>
  <c r="AD360" i="34"/>
  <c r="AD362" i="34"/>
  <c r="AD368" i="34"/>
  <c r="AD378" i="34"/>
  <c r="AD381" i="34"/>
  <c r="AD382" i="34"/>
  <c r="AD390" i="34"/>
  <c r="AD391" i="34"/>
  <c r="AD398" i="34"/>
  <c r="AD405" i="34"/>
  <c r="AD408" i="34"/>
  <c r="AD416" i="34"/>
  <c r="AD424" i="34"/>
  <c r="AD432" i="34"/>
  <c r="AD440" i="34"/>
  <c r="AD449" i="34"/>
  <c r="AD456" i="34"/>
  <c r="AD466" i="34"/>
  <c r="AD475" i="34"/>
  <c r="AD487" i="34"/>
  <c r="AD491" i="34"/>
  <c r="AD500" i="34"/>
  <c r="AD506" i="34"/>
  <c r="AD513" i="34"/>
  <c r="AD521" i="34"/>
  <c r="AD526" i="34"/>
  <c r="AD535" i="34"/>
  <c r="AD539" i="34"/>
  <c r="AD541" i="34"/>
  <c r="AD548" i="34"/>
  <c r="AD551" i="34"/>
  <c r="AD554" i="34"/>
  <c r="AD565" i="34"/>
  <c r="AD571" i="34"/>
  <c r="AD573" i="34"/>
  <c r="AD574" i="34"/>
  <c r="AD578" i="34"/>
  <c r="AD581" i="34"/>
  <c r="AD583" i="34"/>
  <c r="AD588" i="34"/>
  <c r="AD601" i="34"/>
  <c r="AD605" i="34"/>
  <c r="AD606" i="34"/>
  <c r="AD609" i="34"/>
  <c r="AD613" i="34"/>
  <c r="AD617" i="34"/>
  <c r="AD621" i="34"/>
  <c r="AD625" i="34"/>
  <c r="AD628" i="34"/>
  <c r="AD637" i="34"/>
  <c r="AD643" i="34"/>
  <c r="AD652" i="34"/>
  <c r="AD659" i="34"/>
  <c r="AD661" i="34"/>
  <c r="AD667" i="34"/>
  <c r="AD669" i="34"/>
  <c r="AD674" i="34"/>
  <c r="AD680" i="34"/>
  <c r="AD684" i="34"/>
  <c r="AD686" i="34"/>
  <c r="AD688" i="34"/>
  <c r="AD695" i="34"/>
  <c r="AD702" i="34"/>
  <c r="AD711" i="34"/>
  <c r="AD722" i="34"/>
  <c r="AD725" i="34"/>
  <c r="AD728" i="34"/>
  <c r="AD742" i="34"/>
  <c r="AD746" i="34"/>
  <c r="AD755" i="34"/>
  <c r="AD760" i="34"/>
  <c r="AD764" i="34"/>
  <c r="AD770" i="34"/>
  <c r="AD777" i="34"/>
  <c r="AE20" i="34"/>
  <c r="AE25" i="34"/>
  <c r="AE33" i="34"/>
  <c r="AE39" i="34"/>
  <c r="AE45" i="34"/>
  <c r="AE51" i="34"/>
  <c r="AE69" i="34"/>
  <c r="AE72" i="34"/>
  <c r="AE76" i="34"/>
  <c r="AE79" i="34"/>
  <c r="AE91" i="34"/>
  <c r="AE105" i="34"/>
  <c r="AE116" i="34"/>
  <c r="AE127" i="34"/>
  <c r="AE129" i="34"/>
  <c r="AE131" i="34"/>
  <c r="AE137" i="34"/>
  <c r="AE144" i="34"/>
  <c r="AE165" i="34"/>
  <c r="AE172" i="34"/>
  <c r="AE180" i="34"/>
  <c r="AE184" i="34"/>
  <c r="AE186" i="34"/>
  <c r="AE197" i="34"/>
  <c r="AE201" i="34"/>
  <c r="AE209" i="34"/>
  <c r="AE215" i="34"/>
  <c r="AE219" i="34"/>
  <c r="AE221" i="34"/>
  <c r="AE226" i="34"/>
  <c r="AE232" i="34"/>
  <c r="AE241" i="34"/>
  <c r="AE248" i="34"/>
  <c r="AE250" i="34"/>
  <c r="AE262" i="34"/>
  <c r="AE266" i="34"/>
  <c r="AE274" i="34"/>
  <c r="AE282" i="34"/>
  <c r="AE288" i="34"/>
  <c r="AE291" i="34"/>
  <c r="AE303" i="34"/>
  <c r="AE312" i="34"/>
  <c r="AE323" i="34"/>
  <c r="AE331" i="34"/>
  <c r="AE341" i="34"/>
  <c r="AE344" i="34"/>
  <c r="AE352" i="34"/>
  <c r="AE358" i="34"/>
  <c r="AE360" i="34"/>
  <c r="AE362" i="34"/>
  <c r="AE368" i="34"/>
  <c r="AE378" i="34"/>
  <c r="AE381" i="34"/>
  <c r="AE382" i="34"/>
  <c r="AE390" i="34"/>
  <c r="AE391" i="34"/>
  <c r="AE398" i="34"/>
  <c r="AE405" i="34"/>
  <c r="AE408" i="34"/>
  <c r="AE416" i="34"/>
  <c r="AE424" i="34"/>
  <c r="AE432" i="34"/>
  <c r="AE440" i="34"/>
  <c r="AE449" i="34"/>
  <c r="AE456" i="34"/>
  <c r="AE466" i="34"/>
  <c r="AE475" i="34"/>
  <c r="AE487" i="34"/>
  <c r="AE491" i="34"/>
  <c r="AE500" i="34"/>
  <c r="AE506" i="34"/>
  <c r="AE513" i="34"/>
  <c r="AE521" i="34"/>
  <c r="AE526" i="34"/>
  <c r="AE535" i="34"/>
  <c r="AE539" i="34"/>
  <c r="AE541" i="34"/>
  <c r="AE548" i="34"/>
  <c r="AE551" i="34"/>
  <c r="AE554" i="34"/>
  <c r="AE565" i="34"/>
  <c r="AE571" i="34"/>
  <c r="AE573" i="34"/>
  <c r="AE574" i="34"/>
  <c r="AE578" i="34"/>
  <c r="AE581" i="34"/>
  <c r="AE583" i="34"/>
  <c r="AE588" i="34"/>
  <c r="AE601" i="34"/>
  <c r="AE605" i="34"/>
  <c r="AE606" i="34"/>
  <c r="AE609" i="34"/>
  <c r="AE613" i="34"/>
  <c r="AE617" i="34"/>
  <c r="AE621" i="34"/>
  <c r="AE625" i="34"/>
  <c r="AE628" i="34"/>
  <c r="AE637" i="34"/>
  <c r="AE643" i="34"/>
  <c r="AE652" i="34"/>
  <c r="AE659" i="34"/>
  <c r="AE661" i="34"/>
  <c r="AE667" i="34"/>
  <c r="AE669" i="34"/>
  <c r="AE674" i="34"/>
  <c r="AE680" i="34"/>
  <c r="AE684" i="34"/>
  <c r="AE686" i="34"/>
  <c r="AE688" i="34"/>
  <c r="AE695" i="34"/>
  <c r="AE702" i="34"/>
  <c r="AE711" i="34"/>
  <c r="AE722" i="34"/>
  <c r="AE725" i="34"/>
  <c r="AE728" i="34"/>
  <c r="AE742" i="34"/>
  <c r="AE746" i="34"/>
  <c r="AE755" i="34"/>
  <c r="AE760" i="34"/>
  <c r="AE764" i="34"/>
  <c r="AE770" i="34"/>
  <c r="AE777" i="34"/>
  <c r="AF20" i="34"/>
  <c r="AF25" i="34"/>
  <c r="AF33" i="34"/>
  <c r="AF39" i="34"/>
  <c r="AF45" i="34"/>
  <c r="AF51" i="34"/>
  <c r="AF69" i="34"/>
  <c r="AF72" i="34"/>
  <c r="AF76" i="34"/>
  <c r="AF79" i="34"/>
  <c r="AF91" i="34"/>
  <c r="AF105" i="34"/>
  <c r="AF116" i="34"/>
  <c r="AF127" i="34"/>
  <c r="AF129" i="34"/>
  <c r="AF131" i="34"/>
  <c r="AF137" i="34"/>
  <c r="AF144" i="34"/>
  <c r="AF165" i="34"/>
  <c r="AF172" i="34"/>
  <c r="AF180" i="34"/>
  <c r="AF184" i="34"/>
  <c r="AF186" i="34"/>
  <c r="AF197" i="34"/>
  <c r="AF201" i="34"/>
  <c r="AF209" i="34"/>
  <c r="AF215" i="34"/>
  <c r="AF219" i="34"/>
  <c r="AF221" i="34"/>
  <c r="AF226" i="34"/>
  <c r="AF232" i="34"/>
  <c r="AF241" i="34"/>
  <c r="AF248" i="34"/>
  <c r="AF250" i="34"/>
  <c r="AF262" i="34"/>
  <c r="AF266" i="34"/>
  <c r="AF274" i="34"/>
  <c r="AF282" i="34"/>
  <c r="AF288" i="34"/>
  <c r="AF291" i="34"/>
  <c r="AF303" i="34"/>
  <c r="AF312" i="34"/>
  <c r="AF323" i="34"/>
  <c r="AF331" i="34"/>
  <c r="AF341" i="34"/>
  <c r="AF344" i="34"/>
  <c r="AF352" i="34"/>
  <c r="AF358" i="34"/>
  <c r="AF360" i="34"/>
  <c r="AF362" i="34"/>
  <c r="AF368" i="34"/>
  <c r="AF378" i="34"/>
  <c r="AF381" i="34"/>
  <c r="AF382" i="34"/>
  <c r="AF390" i="34"/>
  <c r="AF391" i="34"/>
  <c r="AF398" i="34"/>
  <c r="AF405" i="34"/>
  <c r="AF408" i="34"/>
  <c r="AF416" i="34"/>
  <c r="AF424" i="34"/>
  <c r="AF432" i="34"/>
  <c r="AF440" i="34"/>
  <c r="AF449" i="34"/>
  <c r="AF456" i="34"/>
  <c r="AF466" i="34"/>
  <c r="AF475" i="34"/>
  <c r="AF487" i="34"/>
  <c r="AF491" i="34"/>
  <c r="AF500" i="34"/>
  <c r="AF506" i="34"/>
  <c r="AF513" i="34"/>
  <c r="AF521" i="34"/>
  <c r="AF526" i="34"/>
  <c r="AF535" i="34"/>
  <c r="AF539" i="34"/>
  <c r="AF541" i="34"/>
  <c r="AF548" i="34"/>
  <c r="AF551" i="34"/>
  <c r="AF554" i="34"/>
  <c r="AF565" i="34"/>
  <c r="AF571" i="34"/>
  <c r="AF573" i="34"/>
  <c r="AF574" i="34"/>
  <c r="AF578" i="34"/>
  <c r="AF581" i="34"/>
  <c r="AF583" i="34"/>
  <c r="AF588" i="34"/>
  <c r="AF601" i="34"/>
  <c r="AF605" i="34"/>
  <c r="AF606" i="34"/>
  <c r="AF609" i="34"/>
  <c r="AF613" i="34"/>
  <c r="AF617" i="34"/>
  <c r="AF621" i="34"/>
  <c r="AF625" i="34"/>
  <c r="AF628" i="34"/>
  <c r="AF637" i="34"/>
  <c r="AF643" i="34"/>
  <c r="AF652" i="34"/>
  <c r="AF659" i="34"/>
  <c r="AF661" i="34"/>
  <c r="AF667" i="34"/>
  <c r="AF669" i="34"/>
  <c r="AF674" i="34"/>
  <c r="AF680" i="34"/>
  <c r="AF684" i="34"/>
  <c r="AF686" i="34"/>
  <c r="AF688" i="34"/>
  <c r="AF695" i="34"/>
  <c r="AF702" i="34"/>
  <c r="AF711" i="34"/>
  <c r="AF722" i="34"/>
  <c r="AF725" i="34"/>
  <c r="AF728" i="34"/>
  <c r="AF742" i="34"/>
  <c r="AF746" i="34"/>
  <c r="AF755" i="34"/>
  <c r="AF760" i="34"/>
  <c r="AF764" i="34"/>
  <c r="AF770" i="34"/>
  <c r="AF777" i="34"/>
  <c r="AG20" i="34"/>
  <c r="AG25" i="34"/>
  <c r="AG33" i="34"/>
  <c r="AG39" i="34"/>
  <c r="AG45" i="34"/>
  <c r="AG51" i="34"/>
  <c r="AG69" i="34"/>
  <c r="AG72" i="34"/>
  <c r="AG76" i="34"/>
  <c r="AG79" i="34"/>
  <c r="AG91" i="34"/>
  <c r="AG105" i="34"/>
  <c r="AG116" i="34"/>
  <c r="AG127" i="34"/>
  <c r="AG129" i="34"/>
  <c r="AG131" i="34"/>
  <c r="AG137" i="34"/>
  <c r="AG144" i="34"/>
  <c r="AG165" i="34"/>
  <c r="AG172" i="34"/>
  <c r="AG180" i="34"/>
  <c r="AG184" i="34"/>
  <c r="AG186" i="34"/>
  <c r="AG197" i="34"/>
  <c r="AG201" i="34"/>
  <c r="AG209" i="34"/>
  <c r="AG215" i="34"/>
  <c r="AG219" i="34"/>
  <c r="AG221" i="34"/>
  <c r="AG226" i="34"/>
  <c r="AG232" i="34"/>
  <c r="AG241" i="34"/>
  <c r="AG248" i="34"/>
  <c r="AG250" i="34"/>
  <c r="AG262" i="34"/>
  <c r="AG266" i="34"/>
  <c r="AG274" i="34"/>
  <c r="AG282" i="34"/>
  <c r="AG288" i="34"/>
  <c r="AG291" i="34"/>
  <c r="AG303" i="34"/>
  <c r="AG312" i="34"/>
  <c r="AG323" i="34"/>
  <c r="AG331" i="34"/>
  <c r="AG341" i="34"/>
  <c r="AG344" i="34"/>
  <c r="AG352" i="34"/>
  <c r="AG358" i="34"/>
  <c r="AG360" i="34"/>
  <c r="AG362" i="34"/>
  <c r="AG368" i="34"/>
  <c r="AG378" i="34"/>
  <c r="AG381" i="34"/>
  <c r="AG382" i="34"/>
  <c r="AG390" i="34"/>
  <c r="AG391" i="34"/>
  <c r="AG398" i="34"/>
  <c r="AG405" i="34"/>
  <c r="AG408" i="34"/>
  <c r="AG416" i="34"/>
  <c r="AG424" i="34"/>
  <c r="AG432" i="34"/>
  <c r="AG440" i="34"/>
  <c r="AG449" i="34"/>
  <c r="AG456" i="34"/>
  <c r="AG466" i="34"/>
  <c r="AG475" i="34"/>
  <c r="AG487" i="34"/>
  <c r="AG491" i="34"/>
  <c r="AG500" i="34"/>
  <c r="AG506" i="34"/>
  <c r="AG513" i="34"/>
  <c r="AG521" i="34"/>
  <c r="AG526" i="34"/>
  <c r="AG535" i="34"/>
  <c r="AG539" i="34"/>
  <c r="AG541" i="34"/>
  <c r="AG548" i="34"/>
  <c r="AG551" i="34"/>
  <c r="AG554" i="34"/>
  <c r="AG565" i="34"/>
  <c r="AG571" i="34"/>
  <c r="AG573" i="34"/>
  <c r="AG574" i="34"/>
  <c r="AG578" i="34"/>
  <c r="AG581" i="34"/>
  <c r="AG583" i="34"/>
  <c r="AG588" i="34"/>
  <c r="AG601" i="34"/>
  <c r="AG605" i="34"/>
  <c r="AG606" i="34"/>
  <c r="AG609" i="34"/>
  <c r="AG613" i="34"/>
  <c r="AG617" i="34"/>
  <c r="AG621" i="34"/>
  <c r="AG625" i="34"/>
  <c r="AG628" i="34"/>
  <c r="AG637" i="34"/>
  <c r="AG643" i="34"/>
  <c r="AG652" i="34"/>
  <c r="AG659" i="34"/>
  <c r="AG661" i="34"/>
  <c r="AG667" i="34"/>
  <c r="AG669" i="34"/>
  <c r="AG674" i="34"/>
  <c r="AG680" i="34"/>
  <c r="AG684" i="34"/>
  <c r="AG686" i="34"/>
  <c r="AG688" i="34"/>
  <c r="AG695" i="34"/>
  <c r="AG702" i="34"/>
  <c r="AG711" i="34"/>
  <c r="AG722" i="34"/>
  <c r="AG725" i="34"/>
  <c r="AG728" i="34"/>
  <c r="AG742" i="34"/>
  <c r="AG746" i="34"/>
  <c r="AG755" i="34"/>
  <c r="AG760" i="34"/>
  <c r="AG764" i="34"/>
  <c r="AG770" i="34"/>
  <c r="AG777" i="34"/>
  <c r="D17" i="43"/>
  <c r="I17" i="43"/>
  <c r="M17" i="43"/>
  <c r="N17" i="43"/>
  <c r="O17" i="43"/>
  <c r="P17" i="43"/>
  <c r="Q17" i="43"/>
  <c r="M138" i="43"/>
  <c r="I138" i="43"/>
  <c r="N138" i="43"/>
  <c r="S138" i="43"/>
  <c r="M137" i="43"/>
  <c r="I137" i="43"/>
  <c r="N137" i="43"/>
  <c r="S137" i="43"/>
  <c r="M136" i="43"/>
  <c r="I136" i="43"/>
  <c r="N136" i="43"/>
  <c r="S136" i="43"/>
  <c r="M135" i="43"/>
  <c r="I135" i="43"/>
  <c r="N135" i="43"/>
  <c r="S135" i="43"/>
  <c r="M134" i="43"/>
  <c r="I134" i="43"/>
  <c r="N134" i="43"/>
  <c r="S134" i="43"/>
  <c r="M133" i="43"/>
  <c r="I133" i="43"/>
  <c r="N133" i="43"/>
  <c r="S133" i="43"/>
  <c r="M132" i="43"/>
  <c r="I132" i="43"/>
  <c r="N132" i="43"/>
  <c r="S132" i="43"/>
  <c r="M131" i="43"/>
  <c r="I131" i="43"/>
  <c r="N131" i="43"/>
  <c r="S131" i="43"/>
  <c r="M130" i="43"/>
  <c r="I130" i="43"/>
  <c r="N130" i="43"/>
  <c r="S130" i="43"/>
  <c r="M129" i="43"/>
  <c r="I129" i="43"/>
  <c r="N129" i="43"/>
  <c r="S129" i="43"/>
  <c r="M128" i="43"/>
  <c r="I128" i="43"/>
  <c r="N128" i="43"/>
  <c r="S128" i="43"/>
  <c r="M127" i="43"/>
  <c r="I127" i="43"/>
  <c r="N127" i="43"/>
  <c r="S127" i="43"/>
  <c r="M126" i="43"/>
  <c r="I126" i="43"/>
  <c r="N126" i="43"/>
  <c r="S126" i="43"/>
  <c r="M125" i="43"/>
  <c r="I125" i="43"/>
  <c r="N125" i="43"/>
  <c r="S125" i="43"/>
  <c r="M124" i="43"/>
  <c r="I124" i="43"/>
  <c r="N124" i="43"/>
  <c r="S124" i="43"/>
  <c r="M123" i="43"/>
  <c r="I123" i="43"/>
  <c r="N123" i="43"/>
  <c r="S123" i="43"/>
  <c r="M122" i="43"/>
  <c r="I122" i="43"/>
  <c r="N122" i="43"/>
  <c r="S122" i="43"/>
  <c r="M121" i="43"/>
  <c r="I121" i="43"/>
  <c r="N121" i="43"/>
  <c r="S121" i="43"/>
  <c r="M120" i="43"/>
  <c r="I120" i="43"/>
  <c r="N120" i="43"/>
  <c r="S120" i="43"/>
  <c r="M119" i="43"/>
  <c r="I119" i="43"/>
  <c r="N119" i="43"/>
  <c r="S119" i="43"/>
  <c r="M118" i="43"/>
  <c r="I118" i="43"/>
  <c r="N118" i="43"/>
  <c r="S118" i="43"/>
  <c r="M117" i="43"/>
  <c r="I117" i="43"/>
  <c r="N117" i="43"/>
  <c r="S117" i="43"/>
  <c r="M116" i="43"/>
  <c r="I116" i="43"/>
  <c r="N116" i="43"/>
  <c r="S116" i="43"/>
  <c r="M115" i="43"/>
  <c r="I115" i="43"/>
  <c r="N115" i="43"/>
  <c r="S115" i="43"/>
  <c r="M114" i="43"/>
  <c r="I114" i="43"/>
  <c r="N114" i="43"/>
  <c r="S114" i="43"/>
  <c r="M113" i="43"/>
  <c r="I113" i="43"/>
  <c r="N113" i="43"/>
  <c r="S113" i="43"/>
  <c r="M112" i="43"/>
  <c r="I112" i="43"/>
  <c r="N112" i="43"/>
  <c r="S112" i="43"/>
  <c r="M111" i="43"/>
  <c r="I111" i="43"/>
  <c r="N111" i="43"/>
  <c r="S111" i="43"/>
  <c r="M110" i="43"/>
  <c r="I110" i="43"/>
  <c r="N110" i="43"/>
  <c r="S110" i="43"/>
  <c r="M109" i="43"/>
  <c r="I109" i="43"/>
  <c r="N109" i="43"/>
  <c r="S109" i="43"/>
  <c r="M108" i="43"/>
  <c r="I108" i="43"/>
  <c r="N108" i="43"/>
  <c r="S108" i="43"/>
  <c r="M107" i="43"/>
  <c r="I107" i="43"/>
  <c r="N107" i="43"/>
  <c r="S107" i="43"/>
  <c r="M106" i="43"/>
  <c r="I106" i="43"/>
  <c r="N106" i="43"/>
  <c r="S106" i="43"/>
  <c r="M105" i="43"/>
  <c r="I105" i="43"/>
  <c r="N105" i="43"/>
  <c r="S105" i="43"/>
  <c r="M104" i="43"/>
  <c r="I104" i="43"/>
  <c r="N104" i="43"/>
  <c r="S104" i="43"/>
  <c r="M103" i="43"/>
  <c r="I103" i="43"/>
  <c r="N103" i="43"/>
  <c r="S103" i="43"/>
  <c r="M102" i="43"/>
  <c r="I102" i="43"/>
  <c r="N102" i="43"/>
  <c r="S102" i="43"/>
  <c r="M101" i="43"/>
  <c r="I101" i="43"/>
  <c r="N101" i="43"/>
  <c r="S101" i="43"/>
  <c r="M100" i="43"/>
  <c r="I100" i="43"/>
  <c r="N100" i="43"/>
  <c r="S100" i="43"/>
  <c r="M99" i="43"/>
  <c r="I99" i="43"/>
  <c r="N99" i="43"/>
  <c r="S99" i="43"/>
  <c r="M98" i="43"/>
  <c r="I98" i="43"/>
  <c r="N98" i="43"/>
  <c r="S98" i="43"/>
  <c r="M97" i="43"/>
  <c r="I97" i="43"/>
  <c r="N97" i="43"/>
  <c r="S97" i="43"/>
  <c r="M96" i="43"/>
  <c r="I96" i="43"/>
  <c r="N96" i="43"/>
  <c r="S96" i="43"/>
  <c r="M95" i="43"/>
  <c r="I95" i="43"/>
  <c r="N95" i="43"/>
  <c r="S95" i="43"/>
  <c r="M94" i="43"/>
  <c r="I94" i="43"/>
  <c r="N94" i="43"/>
  <c r="S94" i="43"/>
  <c r="M93" i="43"/>
  <c r="I93" i="43"/>
  <c r="N93" i="43"/>
  <c r="S93" i="43"/>
  <c r="M92" i="43"/>
  <c r="I92" i="43"/>
  <c r="N92" i="43"/>
  <c r="S92" i="43"/>
  <c r="M91" i="43"/>
  <c r="I91" i="43"/>
  <c r="N91" i="43"/>
  <c r="S91" i="43"/>
  <c r="M90" i="43"/>
  <c r="I90" i="43"/>
  <c r="N90" i="43"/>
  <c r="S90" i="43"/>
  <c r="M89" i="43"/>
  <c r="I89" i="43"/>
  <c r="N89" i="43"/>
  <c r="S89" i="43"/>
  <c r="M88" i="43"/>
  <c r="I88" i="43"/>
  <c r="N88" i="43"/>
  <c r="S88" i="43"/>
  <c r="M87" i="43"/>
  <c r="I87" i="43"/>
  <c r="N87" i="43"/>
  <c r="S87" i="43"/>
  <c r="M86" i="43"/>
  <c r="I86" i="43"/>
  <c r="N86" i="43"/>
  <c r="S86" i="43"/>
  <c r="M85" i="43"/>
  <c r="I85" i="43"/>
  <c r="N85" i="43"/>
  <c r="S85" i="43"/>
  <c r="M84" i="43"/>
  <c r="I84" i="43"/>
  <c r="N84" i="43"/>
  <c r="S84" i="43"/>
  <c r="M83" i="43"/>
  <c r="I83" i="43"/>
  <c r="N83" i="43"/>
  <c r="S83" i="43"/>
  <c r="M82" i="43"/>
  <c r="I82" i="43"/>
  <c r="N82" i="43"/>
  <c r="S82" i="43"/>
  <c r="M81" i="43"/>
  <c r="I81" i="43"/>
  <c r="N81" i="43"/>
  <c r="S81" i="43"/>
  <c r="M80" i="43"/>
  <c r="I80" i="43"/>
  <c r="N80" i="43"/>
  <c r="S80" i="43"/>
  <c r="M79" i="43"/>
  <c r="I79" i="43"/>
  <c r="N79" i="43"/>
  <c r="S79" i="43"/>
  <c r="M78" i="43"/>
  <c r="I78" i="43"/>
  <c r="N78" i="43"/>
  <c r="S78" i="43"/>
  <c r="M77" i="43"/>
  <c r="I77" i="43"/>
  <c r="N77" i="43"/>
  <c r="S77" i="43"/>
  <c r="M76" i="43"/>
  <c r="I76" i="43"/>
  <c r="N76" i="43"/>
  <c r="S76" i="43"/>
  <c r="M75" i="43"/>
  <c r="I75" i="43"/>
  <c r="N75" i="43"/>
  <c r="S75" i="43"/>
  <c r="M74" i="43"/>
  <c r="I74" i="43"/>
  <c r="N74" i="43"/>
  <c r="S74" i="43"/>
  <c r="M73" i="43"/>
  <c r="I73" i="43"/>
  <c r="N73" i="43"/>
  <c r="S73" i="43"/>
  <c r="M72" i="43"/>
  <c r="I72" i="43"/>
  <c r="N72" i="43"/>
  <c r="S72" i="43"/>
  <c r="M71" i="43"/>
  <c r="I71" i="43"/>
  <c r="N71" i="43"/>
  <c r="S71" i="43"/>
  <c r="M70" i="43"/>
  <c r="I70" i="43"/>
  <c r="N70" i="43"/>
  <c r="S70" i="43"/>
  <c r="M69" i="43"/>
  <c r="I69" i="43"/>
  <c r="N69" i="43"/>
  <c r="S69" i="43"/>
  <c r="M68" i="43"/>
  <c r="I68" i="43"/>
  <c r="N68" i="43"/>
  <c r="S68" i="43"/>
  <c r="M67" i="43"/>
  <c r="I67" i="43"/>
  <c r="N67" i="43"/>
  <c r="S67" i="43"/>
  <c r="M66" i="43"/>
  <c r="I66" i="43"/>
  <c r="N66" i="43"/>
  <c r="S66" i="43"/>
  <c r="M65" i="43"/>
  <c r="I65" i="43"/>
  <c r="N65" i="43"/>
  <c r="S65" i="43"/>
  <c r="M64" i="43"/>
  <c r="I64" i="43"/>
  <c r="N64" i="43"/>
  <c r="S64" i="43"/>
  <c r="M63" i="43"/>
  <c r="I63" i="43"/>
  <c r="N63" i="43"/>
  <c r="S63" i="43"/>
  <c r="M62" i="43"/>
  <c r="I62" i="43"/>
  <c r="N62" i="43"/>
  <c r="S62" i="43"/>
  <c r="M61" i="43"/>
  <c r="I61" i="43"/>
  <c r="N61" i="43"/>
  <c r="S61" i="43"/>
  <c r="M60" i="43"/>
  <c r="I60" i="43"/>
  <c r="N60" i="43"/>
  <c r="S60" i="43"/>
  <c r="M59" i="43"/>
  <c r="I59" i="43"/>
  <c r="N59" i="43"/>
  <c r="S59" i="43"/>
  <c r="M58" i="43"/>
  <c r="I58" i="43"/>
  <c r="N58" i="43"/>
  <c r="S58" i="43"/>
  <c r="M57" i="43"/>
  <c r="I57" i="43"/>
  <c r="N57" i="43"/>
  <c r="S57" i="43"/>
  <c r="M56" i="43"/>
  <c r="I56" i="43"/>
  <c r="N56" i="43"/>
  <c r="S56" i="43"/>
  <c r="M55" i="43"/>
  <c r="I55" i="43"/>
  <c r="N55" i="43"/>
  <c r="S55" i="43"/>
  <c r="M54" i="43"/>
  <c r="I54" i="43"/>
  <c r="N54" i="43"/>
  <c r="S54" i="43"/>
  <c r="M53" i="43"/>
  <c r="I53" i="43"/>
  <c r="N53" i="43"/>
  <c r="S53" i="43"/>
  <c r="M52" i="43"/>
  <c r="I52" i="43"/>
  <c r="N52" i="43"/>
  <c r="S52" i="43"/>
  <c r="M51" i="43"/>
  <c r="I51" i="43"/>
  <c r="N51" i="43"/>
  <c r="S51" i="43"/>
  <c r="M50" i="43"/>
  <c r="I50" i="43"/>
  <c r="N50" i="43"/>
  <c r="S50" i="43"/>
  <c r="M49" i="43"/>
  <c r="I49" i="43"/>
  <c r="N49" i="43"/>
  <c r="S49" i="43"/>
  <c r="M48" i="43"/>
  <c r="I48" i="43"/>
  <c r="N48" i="43"/>
  <c r="S48" i="43"/>
  <c r="M47" i="43"/>
  <c r="I47" i="43"/>
  <c r="N47" i="43"/>
  <c r="S47" i="43"/>
  <c r="M46" i="43"/>
  <c r="I46" i="43"/>
  <c r="N46" i="43"/>
  <c r="S46" i="43"/>
  <c r="M45" i="43"/>
  <c r="I45" i="43"/>
  <c r="N45" i="43"/>
  <c r="S45" i="43"/>
  <c r="M44" i="43"/>
  <c r="I44" i="43"/>
  <c r="N44" i="43"/>
  <c r="S44" i="43"/>
  <c r="M43" i="43"/>
  <c r="I43" i="43"/>
  <c r="N43" i="43"/>
  <c r="S43" i="43"/>
  <c r="M42" i="43"/>
  <c r="I42" i="43"/>
  <c r="N42" i="43"/>
  <c r="S42" i="43"/>
  <c r="M41" i="43"/>
  <c r="I41" i="43"/>
  <c r="N41" i="43"/>
  <c r="S41" i="43"/>
  <c r="M40" i="43"/>
  <c r="I40" i="43"/>
  <c r="N40" i="43"/>
  <c r="S40" i="43"/>
  <c r="M39" i="43"/>
  <c r="I39" i="43"/>
  <c r="N39" i="43"/>
  <c r="S39" i="43"/>
  <c r="M38" i="43"/>
  <c r="I38" i="43"/>
  <c r="N38" i="43"/>
  <c r="S38" i="43"/>
  <c r="M37" i="43"/>
  <c r="I37" i="43"/>
  <c r="N37" i="43"/>
  <c r="S37" i="43"/>
  <c r="M36" i="43"/>
  <c r="I36" i="43"/>
  <c r="N36" i="43"/>
  <c r="S36" i="43"/>
  <c r="M35" i="43"/>
  <c r="I35" i="43"/>
  <c r="N35" i="43"/>
  <c r="S35" i="43"/>
  <c r="M34" i="43"/>
  <c r="I34" i="43"/>
  <c r="N34" i="43"/>
  <c r="S34" i="43"/>
  <c r="M33" i="43"/>
  <c r="I33" i="43"/>
  <c r="N33" i="43"/>
  <c r="S33" i="43"/>
  <c r="M32" i="43"/>
  <c r="I32" i="43"/>
  <c r="N32" i="43"/>
  <c r="S32" i="43"/>
  <c r="M31" i="43"/>
  <c r="I31" i="43"/>
  <c r="N31" i="43"/>
  <c r="S31" i="43"/>
  <c r="M30" i="43"/>
  <c r="I30" i="43"/>
  <c r="N30" i="43"/>
  <c r="S30" i="43"/>
  <c r="M29" i="43"/>
  <c r="I29" i="43"/>
  <c r="N29" i="43"/>
  <c r="S29" i="43"/>
  <c r="M28" i="43"/>
  <c r="I28" i="43"/>
  <c r="N28" i="43"/>
  <c r="S28" i="43"/>
  <c r="M27" i="43"/>
  <c r="I27" i="43"/>
  <c r="N27" i="43"/>
  <c r="S27" i="43"/>
  <c r="M26" i="43"/>
  <c r="I26" i="43"/>
  <c r="N26" i="43"/>
  <c r="S26" i="43"/>
  <c r="M25" i="43"/>
  <c r="I25" i="43"/>
  <c r="N25" i="43"/>
  <c r="S25" i="43"/>
  <c r="M24" i="43"/>
  <c r="I24" i="43"/>
  <c r="N24" i="43"/>
  <c r="S24" i="43"/>
  <c r="M23" i="43"/>
  <c r="I23" i="43"/>
  <c r="N23" i="43"/>
  <c r="S23" i="43"/>
  <c r="M22" i="43"/>
  <c r="I22" i="43"/>
  <c r="N22" i="43"/>
  <c r="S22" i="43"/>
  <c r="M21" i="43"/>
  <c r="I21" i="43"/>
  <c r="N21" i="43"/>
  <c r="S21" i="43"/>
  <c r="M20" i="43"/>
  <c r="I20" i="43"/>
  <c r="N20" i="43"/>
  <c r="S20" i="43"/>
  <c r="M19" i="43"/>
  <c r="I19" i="43"/>
  <c r="N19" i="43"/>
  <c r="S19" i="43"/>
  <c r="M18" i="43"/>
  <c r="I18" i="43"/>
  <c r="N18" i="43"/>
  <c r="S18" i="43"/>
  <c r="R138" i="43"/>
  <c r="R137" i="43"/>
  <c r="R136" i="43"/>
  <c r="R135" i="43"/>
  <c r="R134" i="43"/>
  <c r="R133" i="43"/>
  <c r="R132" i="43"/>
  <c r="R131" i="43"/>
  <c r="R130" i="43"/>
  <c r="R129" i="43"/>
  <c r="R128" i="43"/>
  <c r="R127" i="43"/>
  <c r="R126" i="43"/>
  <c r="R125" i="43"/>
  <c r="R124" i="43"/>
  <c r="R123" i="43"/>
  <c r="R122" i="43"/>
  <c r="R121" i="43"/>
  <c r="R120" i="43"/>
  <c r="R119" i="43"/>
  <c r="R118" i="43"/>
  <c r="R117" i="43"/>
  <c r="R116" i="43"/>
  <c r="R115" i="43"/>
  <c r="R114" i="43"/>
  <c r="R113" i="43"/>
  <c r="R112" i="43"/>
  <c r="R111" i="43"/>
  <c r="R110" i="43"/>
  <c r="R109" i="43"/>
  <c r="R108" i="43"/>
  <c r="R107" i="43"/>
  <c r="R106" i="43"/>
  <c r="R105" i="43"/>
  <c r="R104" i="43"/>
  <c r="R103" i="43"/>
  <c r="R102" i="43"/>
  <c r="R101" i="43"/>
  <c r="R100" i="43"/>
  <c r="R99" i="43"/>
  <c r="R98" i="43"/>
  <c r="R97" i="43"/>
  <c r="R96" i="43"/>
  <c r="R95" i="43"/>
  <c r="R94" i="43"/>
  <c r="R93" i="43"/>
  <c r="R92" i="43"/>
  <c r="R91" i="43"/>
  <c r="R90" i="43"/>
  <c r="R89" i="43"/>
  <c r="R88" i="43"/>
  <c r="R87" i="43"/>
  <c r="R86" i="43"/>
  <c r="R85" i="43"/>
  <c r="R84" i="43"/>
  <c r="R83" i="43"/>
  <c r="R82" i="43"/>
  <c r="R81" i="43"/>
  <c r="R80" i="43"/>
  <c r="R79" i="43"/>
  <c r="R78" i="43"/>
  <c r="R77" i="43"/>
  <c r="R76" i="43"/>
  <c r="R75" i="43"/>
  <c r="R74" i="43"/>
  <c r="R73" i="43"/>
  <c r="R72" i="43"/>
  <c r="R71" i="43"/>
  <c r="R70" i="43"/>
  <c r="R69" i="43"/>
  <c r="R68" i="43"/>
  <c r="R67" i="43"/>
  <c r="R66" i="43"/>
  <c r="R65" i="43"/>
  <c r="R64" i="43"/>
  <c r="R63" i="43"/>
  <c r="R62" i="43"/>
  <c r="R61" i="43"/>
  <c r="R60" i="43"/>
  <c r="R59" i="43"/>
  <c r="R58" i="43"/>
  <c r="R57" i="43"/>
  <c r="R56" i="43"/>
  <c r="R55" i="43"/>
  <c r="R54" i="43"/>
  <c r="R53" i="43"/>
  <c r="R52" i="43"/>
  <c r="R51" i="43"/>
  <c r="R50" i="43"/>
  <c r="R49" i="43"/>
  <c r="R48" i="43"/>
  <c r="R47" i="43"/>
  <c r="R46" i="43"/>
  <c r="R45" i="43"/>
  <c r="R44" i="43"/>
  <c r="R43" i="43"/>
  <c r="R42" i="43"/>
  <c r="R41" i="43"/>
  <c r="R40" i="43"/>
  <c r="R39" i="43"/>
  <c r="R38" i="43"/>
  <c r="R37" i="43"/>
  <c r="R36" i="43"/>
  <c r="R35" i="43"/>
  <c r="R34" i="43"/>
  <c r="R33" i="43"/>
  <c r="R32" i="43"/>
  <c r="R31" i="43"/>
  <c r="R30" i="43"/>
  <c r="R29" i="43"/>
  <c r="R28" i="43"/>
  <c r="R27" i="43"/>
  <c r="R26" i="43"/>
  <c r="R25" i="43"/>
  <c r="R24" i="43"/>
  <c r="R23" i="43"/>
  <c r="R22" i="43"/>
  <c r="R21" i="43"/>
  <c r="R20" i="43"/>
  <c r="R19" i="43"/>
  <c r="R18" i="43"/>
  <c r="R17" i="43"/>
  <c r="S17" i="43"/>
  <c r="T138" i="43"/>
  <c r="T137" i="43"/>
  <c r="T136" i="43"/>
  <c r="T135" i="43"/>
  <c r="T134" i="43"/>
  <c r="T133" i="43"/>
  <c r="T132" i="43"/>
  <c r="T131" i="43"/>
  <c r="T130" i="43"/>
  <c r="T129" i="43"/>
  <c r="T128" i="43"/>
  <c r="T127" i="43"/>
  <c r="T126" i="43"/>
  <c r="T125" i="43"/>
  <c r="T124" i="43"/>
  <c r="T123" i="43"/>
  <c r="T122" i="43"/>
  <c r="T121" i="43"/>
  <c r="T120" i="43"/>
  <c r="T119" i="43"/>
  <c r="T118" i="43"/>
  <c r="T117" i="43"/>
  <c r="T116" i="43"/>
  <c r="T115" i="43"/>
  <c r="T114" i="43"/>
  <c r="T113" i="43"/>
  <c r="T112" i="43"/>
  <c r="T111" i="43"/>
  <c r="T110" i="43"/>
  <c r="T109" i="43"/>
  <c r="T108" i="43"/>
  <c r="T107" i="43"/>
  <c r="T106" i="43"/>
  <c r="T105" i="43"/>
  <c r="T104" i="43"/>
  <c r="T103" i="43"/>
  <c r="T102" i="43"/>
  <c r="T101" i="43"/>
  <c r="T100" i="43"/>
  <c r="T99" i="43"/>
  <c r="T98" i="43"/>
  <c r="T97" i="43"/>
  <c r="T96" i="43"/>
  <c r="T95" i="43"/>
  <c r="T94" i="43"/>
  <c r="T93" i="43"/>
  <c r="T92" i="43"/>
  <c r="T91" i="43"/>
  <c r="T90" i="43"/>
  <c r="T89" i="43"/>
  <c r="T88" i="43"/>
  <c r="T87" i="43"/>
  <c r="T86" i="43"/>
  <c r="T85" i="43"/>
  <c r="T84" i="43"/>
  <c r="T83" i="43"/>
  <c r="T82" i="43"/>
  <c r="T81" i="43"/>
  <c r="T80" i="43"/>
  <c r="T79" i="43"/>
  <c r="T78" i="43"/>
  <c r="T77" i="43"/>
  <c r="T76" i="43"/>
  <c r="T75" i="43"/>
  <c r="T74" i="43"/>
  <c r="T73" i="43"/>
  <c r="T72" i="43"/>
  <c r="T71" i="43"/>
  <c r="T70" i="43"/>
  <c r="T69" i="43"/>
  <c r="T68" i="43"/>
  <c r="T67" i="43"/>
  <c r="T66" i="43"/>
  <c r="T65" i="43"/>
  <c r="T64" i="43"/>
  <c r="T63" i="43"/>
  <c r="T62" i="43"/>
  <c r="T61" i="43"/>
  <c r="T60" i="43"/>
  <c r="T59" i="43"/>
  <c r="T58" i="43"/>
  <c r="T57" i="43"/>
  <c r="T56" i="43"/>
  <c r="T55" i="43"/>
  <c r="T54" i="43"/>
  <c r="T53" i="43"/>
  <c r="T52" i="43"/>
  <c r="T51" i="43"/>
  <c r="T50" i="43"/>
  <c r="T49" i="43"/>
  <c r="T48" i="43"/>
  <c r="T47" i="43"/>
  <c r="T46" i="43"/>
  <c r="T45" i="43"/>
  <c r="T44" i="43"/>
  <c r="T43" i="43"/>
  <c r="T42" i="43"/>
  <c r="T41" i="43"/>
  <c r="T40" i="43"/>
  <c r="T39" i="43"/>
  <c r="T38" i="43"/>
  <c r="T37" i="43"/>
  <c r="T36" i="43"/>
  <c r="T35" i="43"/>
  <c r="T34" i="43"/>
  <c r="T33" i="43"/>
  <c r="T32" i="43"/>
  <c r="T31" i="43"/>
  <c r="T30" i="43"/>
  <c r="T29" i="43"/>
  <c r="T28" i="43"/>
  <c r="T27" i="43"/>
  <c r="T26" i="43"/>
  <c r="T25" i="43"/>
  <c r="T24" i="43"/>
  <c r="T23" i="43"/>
  <c r="T22" i="43"/>
  <c r="T21" i="43"/>
  <c r="T20" i="43"/>
  <c r="T19" i="43"/>
  <c r="T18" i="43"/>
  <c r="T17" i="43"/>
  <c r="U17" i="43"/>
  <c r="V17" i="43"/>
  <c r="W17" i="43"/>
  <c r="X17" i="43"/>
  <c r="Y17" i="43"/>
  <c r="Z17" i="43"/>
  <c r="AA17" i="43"/>
  <c r="AB17" i="43"/>
  <c r="AC17" i="43"/>
  <c r="AD17" i="43"/>
  <c r="AE17" i="43"/>
  <c r="AF17" i="43"/>
  <c r="AG17" i="43"/>
  <c r="D18" i="43"/>
  <c r="O18" i="43"/>
  <c r="P18" i="43"/>
  <c r="Q18" i="43"/>
  <c r="U18" i="43"/>
  <c r="V18" i="43"/>
  <c r="W18" i="43"/>
  <c r="X18" i="43"/>
  <c r="Y18" i="43"/>
  <c r="Z18" i="43"/>
  <c r="AA18" i="43"/>
  <c r="AB18" i="43"/>
  <c r="AC18" i="43"/>
  <c r="AD18" i="43"/>
  <c r="AE18" i="43"/>
  <c r="AF18" i="43"/>
  <c r="AG18" i="43"/>
  <c r="D19" i="43"/>
  <c r="O19" i="43"/>
  <c r="P19" i="43"/>
  <c r="Q19" i="43"/>
  <c r="U19" i="43"/>
  <c r="V19" i="43"/>
  <c r="W19" i="43"/>
  <c r="X19" i="43"/>
  <c r="Y19" i="43"/>
  <c r="Z19" i="43"/>
  <c r="AA19" i="43"/>
  <c r="AB19" i="43"/>
  <c r="AC19" i="43"/>
  <c r="AD19" i="43"/>
  <c r="AE19" i="43"/>
  <c r="AF19" i="43"/>
  <c r="AG19" i="43"/>
  <c r="D20" i="43"/>
  <c r="O20" i="43"/>
  <c r="P20" i="43"/>
  <c r="Q20" i="43"/>
  <c r="U20" i="43"/>
  <c r="V20" i="43"/>
  <c r="W20" i="43"/>
  <c r="X20" i="43"/>
  <c r="Y20" i="43"/>
  <c r="Z20" i="43"/>
  <c r="AA20" i="43"/>
  <c r="AB20" i="43"/>
  <c r="AC20" i="43"/>
  <c r="AD20" i="43"/>
  <c r="AE20" i="43"/>
  <c r="AF20" i="43"/>
  <c r="AG20" i="43"/>
  <c r="D21" i="43"/>
  <c r="O21" i="43"/>
  <c r="P21" i="43"/>
  <c r="Q21" i="43"/>
  <c r="U21" i="43"/>
  <c r="V21" i="43"/>
  <c r="W21" i="43"/>
  <c r="X21" i="43"/>
  <c r="Y21" i="43"/>
  <c r="Z21" i="43"/>
  <c r="AA21" i="43"/>
  <c r="AB21" i="43"/>
  <c r="AC21" i="43"/>
  <c r="AD21" i="43"/>
  <c r="AE21" i="43"/>
  <c r="AF21" i="43"/>
  <c r="AG21" i="43"/>
  <c r="D22" i="43"/>
  <c r="O22" i="43"/>
  <c r="P22" i="43"/>
  <c r="Q22" i="43"/>
  <c r="U22" i="43"/>
  <c r="V22" i="43"/>
  <c r="W22" i="43"/>
  <c r="X22" i="43"/>
  <c r="Y22" i="43"/>
  <c r="Z22" i="43"/>
  <c r="AA22" i="43"/>
  <c r="AB22" i="43"/>
  <c r="AC22" i="43"/>
  <c r="AD22" i="43"/>
  <c r="AE22" i="43"/>
  <c r="AF22" i="43"/>
  <c r="AG22" i="43"/>
  <c r="D23" i="43"/>
  <c r="O23" i="43"/>
  <c r="P23" i="43"/>
  <c r="Q23" i="43"/>
  <c r="U23" i="43"/>
  <c r="V23" i="43"/>
  <c r="W23" i="43"/>
  <c r="X23" i="43"/>
  <c r="Y23" i="43"/>
  <c r="Z23" i="43"/>
  <c r="AA23" i="43"/>
  <c r="AB23" i="43"/>
  <c r="AC23" i="43"/>
  <c r="AD23" i="43"/>
  <c r="AE23" i="43"/>
  <c r="AF23" i="43"/>
  <c r="AG23" i="43"/>
  <c r="D24" i="43"/>
  <c r="O24" i="43"/>
  <c r="P24" i="43"/>
  <c r="Q24" i="43"/>
  <c r="U24" i="43"/>
  <c r="V24" i="43"/>
  <c r="W24" i="43"/>
  <c r="X24" i="43"/>
  <c r="Y24" i="43"/>
  <c r="Z24" i="43"/>
  <c r="AA24" i="43"/>
  <c r="AB24" i="43"/>
  <c r="AC24" i="43"/>
  <c r="AD24" i="43"/>
  <c r="AE24" i="43"/>
  <c r="AF24" i="43"/>
  <c r="AG24" i="43"/>
  <c r="D25" i="43"/>
  <c r="O25" i="43"/>
  <c r="P25" i="43"/>
  <c r="Q25" i="43"/>
  <c r="U25" i="43"/>
  <c r="V25" i="43"/>
  <c r="W25" i="43"/>
  <c r="X25" i="43"/>
  <c r="Y25" i="43"/>
  <c r="Z25" i="43"/>
  <c r="AA25" i="43"/>
  <c r="AB25" i="43"/>
  <c r="AC25" i="43"/>
  <c r="AD25" i="43"/>
  <c r="AE25" i="43"/>
  <c r="AF25" i="43"/>
  <c r="AG25" i="43"/>
  <c r="D26" i="43"/>
  <c r="O26" i="43"/>
  <c r="P26" i="43"/>
  <c r="Q26" i="43"/>
  <c r="U26" i="43"/>
  <c r="V26" i="43"/>
  <c r="W26" i="43"/>
  <c r="X26" i="43"/>
  <c r="Y26" i="43"/>
  <c r="Z26" i="43"/>
  <c r="AA26" i="43"/>
  <c r="AB26" i="43"/>
  <c r="AC26" i="43"/>
  <c r="AD26" i="43"/>
  <c r="AE26" i="43"/>
  <c r="AF26" i="43"/>
  <c r="AG26" i="43"/>
  <c r="D27" i="43"/>
  <c r="O27" i="43"/>
  <c r="P27" i="43"/>
  <c r="Q27" i="43"/>
  <c r="U27" i="43"/>
  <c r="V27" i="43"/>
  <c r="W27" i="43"/>
  <c r="X27" i="43"/>
  <c r="Y27" i="43"/>
  <c r="Z27" i="43"/>
  <c r="AA27" i="43"/>
  <c r="AB27" i="43"/>
  <c r="AC27" i="43"/>
  <c r="AD27" i="43"/>
  <c r="AE27" i="43"/>
  <c r="AF27" i="43"/>
  <c r="AG27" i="43"/>
  <c r="D28" i="43"/>
  <c r="O28" i="43"/>
  <c r="P28" i="43"/>
  <c r="Q28" i="43"/>
  <c r="U28" i="43"/>
  <c r="V28" i="43"/>
  <c r="W28" i="43"/>
  <c r="X28" i="43"/>
  <c r="Y28" i="43"/>
  <c r="Z28" i="43"/>
  <c r="AA28" i="43"/>
  <c r="AB28" i="43"/>
  <c r="AC28" i="43"/>
  <c r="AD28" i="43"/>
  <c r="AE28" i="43"/>
  <c r="AF28" i="43"/>
  <c r="AG28" i="43"/>
  <c r="D29" i="43"/>
  <c r="O29" i="43"/>
  <c r="P29" i="43"/>
  <c r="Q29" i="43"/>
  <c r="U29" i="43"/>
  <c r="V29" i="43"/>
  <c r="W29" i="43"/>
  <c r="X29" i="43"/>
  <c r="Y29" i="43"/>
  <c r="Z29" i="43"/>
  <c r="AA29" i="43"/>
  <c r="AB29" i="43"/>
  <c r="AC29" i="43"/>
  <c r="AD29" i="43"/>
  <c r="AE29" i="43"/>
  <c r="AF29" i="43"/>
  <c r="AG29" i="43"/>
  <c r="D30" i="43"/>
  <c r="O30" i="43"/>
  <c r="P30" i="43"/>
  <c r="Q30" i="43"/>
  <c r="U30" i="43"/>
  <c r="V30" i="43"/>
  <c r="W30" i="43"/>
  <c r="X30" i="43"/>
  <c r="Y30" i="43"/>
  <c r="Z30" i="43"/>
  <c r="AA30" i="43"/>
  <c r="AB30" i="43"/>
  <c r="AC30" i="43"/>
  <c r="AD30" i="43"/>
  <c r="AE30" i="43"/>
  <c r="AF30" i="43"/>
  <c r="AG30" i="43"/>
  <c r="D31" i="43"/>
  <c r="O31" i="43"/>
  <c r="P31" i="43"/>
  <c r="Q31" i="43"/>
  <c r="U31" i="43"/>
  <c r="V31" i="43"/>
  <c r="W31" i="43"/>
  <c r="X31" i="43"/>
  <c r="Y31" i="43"/>
  <c r="Z31" i="43"/>
  <c r="AA31" i="43"/>
  <c r="AB31" i="43"/>
  <c r="AC31" i="43"/>
  <c r="AD31" i="43"/>
  <c r="AE31" i="43"/>
  <c r="AF31" i="43"/>
  <c r="AG31" i="43"/>
  <c r="D32" i="43"/>
  <c r="O32" i="43"/>
  <c r="P32" i="43"/>
  <c r="Q32" i="43"/>
  <c r="U32" i="43"/>
  <c r="V32" i="43"/>
  <c r="W32" i="43"/>
  <c r="X32" i="43"/>
  <c r="Y32" i="43"/>
  <c r="Z32" i="43"/>
  <c r="AA32" i="43"/>
  <c r="AB32" i="43"/>
  <c r="AC32" i="43"/>
  <c r="AD32" i="43"/>
  <c r="AE32" i="43"/>
  <c r="AF32" i="43"/>
  <c r="AG32" i="43"/>
  <c r="D33" i="43"/>
  <c r="O33" i="43"/>
  <c r="P33" i="43"/>
  <c r="Q33" i="43"/>
  <c r="U33" i="43"/>
  <c r="V33" i="43"/>
  <c r="W33" i="43"/>
  <c r="X33" i="43"/>
  <c r="Y33" i="43"/>
  <c r="Z33" i="43"/>
  <c r="AA33" i="43"/>
  <c r="AB33" i="43"/>
  <c r="AC33" i="43"/>
  <c r="AD33" i="43"/>
  <c r="AE33" i="43"/>
  <c r="AF33" i="43"/>
  <c r="AG33" i="43"/>
  <c r="D34" i="43"/>
  <c r="O34" i="43"/>
  <c r="P34" i="43"/>
  <c r="Q34" i="43"/>
  <c r="U34" i="43"/>
  <c r="V34" i="43"/>
  <c r="W34" i="43"/>
  <c r="X34" i="43"/>
  <c r="Y34" i="43"/>
  <c r="Z34" i="43"/>
  <c r="AA34" i="43"/>
  <c r="AB34" i="43"/>
  <c r="AC34" i="43"/>
  <c r="AD34" i="43"/>
  <c r="AE34" i="43"/>
  <c r="AF34" i="43"/>
  <c r="AG34" i="43"/>
  <c r="D35" i="43"/>
  <c r="O35" i="43"/>
  <c r="P35" i="43"/>
  <c r="Q35" i="43"/>
  <c r="U35" i="43"/>
  <c r="V35" i="43"/>
  <c r="W35" i="43"/>
  <c r="X35" i="43"/>
  <c r="Y35" i="43"/>
  <c r="Z35" i="43"/>
  <c r="AA35" i="43"/>
  <c r="AB35" i="43"/>
  <c r="AC35" i="43"/>
  <c r="AD35" i="43"/>
  <c r="AE35" i="43"/>
  <c r="AF35" i="43"/>
  <c r="AG35" i="43"/>
  <c r="D36" i="43"/>
  <c r="O36" i="43"/>
  <c r="P36" i="43"/>
  <c r="Q36" i="43"/>
  <c r="U36" i="43"/>
  <c r="V36" i="43"/>
  <c r="W36" i="43"/>
  <c r="X36" i="43"/>
  <c r="Y36" i="43"/>
  <c r="Z36" i="43"/>
  <c r="AA36" i="43"/>
  <c r="AB36" i="43"/>
  <c r="AC36" i="43"/>
  <c r="AD36" i="43"/>
  <c r="AE36" i="43"/>
  <c r="AF36" i="43"/>
  <c r="AG36" i="43"/>
  <c r="D37" i="43"/>
  <c r="O37" i="43"/>
  <c r="P37" i="43"/>
  <c r="Q37" i="43"/>
  <c r="U37" i="43"/>
  <c r="V37" i="43"/>
  <c r="W37" i="43"/>
  <c r="X37" i="43"/>
  <c r="Y37" i="43"/>
  <c r="Z37" i="43"/>
  <c r="AA37" i="43"/>
  <c r="AB37" i="43"/>
  <c r="AC37" i="43"/>
  <c r="AD37" i="43"/>
  <c r="AE37" i="43"/>
  <c r="AF37" i="43"/>
  <c r="AG37" i="43"/>
  <c r="D38" i="43"/>
  <c r="O38" i="43"/>
  <c r="P38" i="43"/>
  <c r="Q38" i="43"/>
  <c r="U38" i="43"/>
  <c r="V38" i="43"/>
  <c r="W38" i="43"/>
  <c r="X38" i="43"/>
  <c r="Y38" i="43"/>
  <c r="Z38" i="43"/>
  <c r="AA38" i="43"/>
  <c r="AB38" i="43"/>
  <c r="AC38" i="43"/>
  <c r="AD38" i="43"/>
  <c r="AE38" i="43"/>
  <c r="AF38" i="43"/>
  <c r="AG38" i="43"/>
  <c r="D39" i="43"/>
  <c r="O39" i="43"/>
  <c r="P39" i="43"/>
  <c r="Q39" i="43"/>
  <c r="U39" i="43"/>
  <c r="V39" i="43"/>
  <c r="W39" i="43"/>
  <c r="X39" i="43"/>
  <c r="Y39" i="43"/>
  <c r="Z39" i="43"/>
  <c r="AA39" i="43"/>
  <c r="AB39" i="43"/>
  <c r="AC39" i="43"/>
  <c r="AD39" i="43"/>
  <c r="AE39" i="43"/>
  <c r="AF39" i="43"/>
  <c r="AG39" i="43"/>
  <c r="D40" i="43"/>
  <c r="O40" i="43"/>
  <c r="P40" i="43"/>
  <c r="Q40" i="43"/>
  <c r="U40" i="43"/>
  <c r="V40" i="43"/>
  <c r="W40" i="43"/>
  <c r="X40" i="43"/>
  <c r="Y40" i="43"/>
  <c r="Z40" i="43"/>
  <c r="AA40" i="43"/>
  <c r="AB40" i="43"/>
  <c r="AC40" i="43"/>
  <c r="AD40" i="43"/>
  <c r="AE40" i="43"/>
  <c r="AF40" i="43"/>
  <c r="AG40" i="43"/>
  <c r="D41" i="43"/>
  <c r="O41" i="43"/>
  <c r="P41" i="43"/>
  <c r="Q41" i="43"/>
  <c r="U41" i="43"/>
  <c r="V41" i="43"/>
  <c r="W41" i="43"/>
  <c r="X41" i="43"/>
  <c r="Y41" i="43"/>
  <c r="Z41" i="43"/>
  <c r="AA41" i="43"/>
  <c r="AB41" i="43"/>
  <c r="AC41" i="43"/>
  <c r="AD41" i="43"/>
  <c r="AE41" i="43"/>
  <c r="AF41" i="43"/>
  <c r="AG41" i="43"/>
  <c r="D42" i="43"/>
  <c r="O42" i="43"/>
  <c r="P42" i="43"/>
  <c r="Q42" i="43"/>
  <c r="U42" i="43"/>
  <c r="V42" i="43"/>
  <c r="W42" i="43"/>
  <c r="X42" i="43"/>
  <c r="Y42" i="43"/>
  <c r="Z42" i="43"/>
  <c r="AA42" i="43"/>
  <c r="AB42" i="43"/>
  <c r="AC42" i="43"/>
  <c r="AD42" i="43"/>
  <c r="AE42" i="43"/>
  <c r="AF42" i="43"/>
  <c r="AG42" i="43"/>
  <c r="D43" i="43"/>
  <c r="O43" i="43"/>
  <c r="P43" i="43"/>
  <c r="Q43" i="43"/>
  <c r="U43" i="43"/>
  <c r="V43" i="43"/>
  <c r="W43" i="43"/>
  <c r="X43" i="43"/>
  <c r="Y43" i="43"/>
  <c r="Z43" i="43"/>
  <c r="AA43" i="43"/>
  <c r="AB43" i="43"/>
  <c r="AC43" i="43"/>
  <c r="AD43" i="43"/>
  <c r="AE43" i="43"/>
  <c r="AF43" i="43"/>
  <c r="AG43" i="43"/>
  <c r="D44" i="43"/>
  <c r="O44" i="43"/>
  <c r="P44" i="43"/>
  <c r="Q44" i="43"/>
  <c r="U44" i="43"/>
  <c r="V44" i="43"/>
  <c r="W44" i="43"/>
  <c r="X44" i="43"/>
  <c r="Y44" i="43"/>
  <c r="Z44" i="43"/>
  <c r="AA44" i="43"/>
  <c r="AB44" i="43"/>
  <c r="AC44" i="43"/>
  <c r="AD44" i="43"/>
  <c r="AE44" i="43"/>
  <c r="AF44" i="43"/>
  <c r="AG44" i="43"/>
  <c r="D45" i="43"/>
  <c r="O45" i="43"/>
  <c r="P45" i="43"/>
  <c r="Q45" i="43"/>
  <c r="U45" i="43"/>
  <c r="V45" i="43"/>
  <c r="W45" i="43"/>
  <c r="X45" i="43"/>
  <c r="Y45" i="43"/>
  <c r="Z45" i="43"/>
  <c r="AA45" i="43"/>
  <c r="AB45" i="43"/>
  <c r="AC45" i="43"/>
  <c r="AD45" i="43"/>
  <c r="AE45" i="43"/>
  <c r="AF45" i="43"/>
  <c r="AG45" i="43"/>
  <c r="D46" i="43"/>
  <c r="O46" i="43"/>
  <c r="P46" i="43"/>
  <c r="Q46" i="43"/>
  <c r="U46" i="43"/>
  <c r="V46" i="43"/>
  <c r="W46" i="43"/>
  <c r="X46" i="43"/>
  <c r="Y46" i="43"/>
  <c r="Z46" i="43"/>
  <c r="AA46" i="43"/>
  <c r="AB46" i="43"/>
  <c r="AC46" i="43"/>
  <c r="AD46" i="43"/>
  <c r="AE46" i="43"/>
  <c r="AF46" i="43"/>
  <c r="AG46" i="43"/>
  <c r="D47" i="43"/>
  <c r="O47" i="43"/>
  <c r="P47" i="43"/>
  <c r="Q47" i="43"/>
  <c r="U47" i="43"/>
  <c r="V47" i="43"/>
  <c r="W47" i="43"/>
  <c r="X47" i="43"/>
  <c r="Y47" i="43"/>
  <c r="Z47" i="43"/>
  <c r="AA47" i="43"/>
  <c r="AB47" i="43"/>
  <c r="AC47" i="43"/>
  <c r="AD47" i="43"/>
  <c r="AE47" i="43"/>
  <c r="AF47" i="43"/>
  <c r="AG47" i="43"/>
  <c r="D48" i="43"/>
  <c r="O48" i="43"/>
  <c r="P48" i="43"/>
  <c r="Q48" i="43"/>
  <c r="U48" i="43"/>
  <c r="V48" i="43"/>
  <c r="W48" i="43"/>
  <c r="X48" i="43"/>
  <c r="Y48" i="43"/>
  <c r="Z48" i="43"/>
  <c r="AA48" i="43"/>
  <c r="AB48" i="43"/>
  <c r="AC48" i="43"/>
  <c r="AD48" i="43"/>
  <c r="AE48" i="43"/>
  <c r="AF48" i="43"/>
  <c r="AG48" i="43"/>
  <c r="D49" i="43"/>
  <c r="O49" i="43"/>
  <c r="P49" i="43"/>
  <c r="Q49" i="43"/>
  <c r="U49" i="43"/>
  <c r="V49" i="43"/>
  <c r="W49" i="43"/>
  <c r="X49" i="43"/>
  <c r="Y49" i="43"/>
  <c r="Z49" i="43"/>
  <c r="AA49" i="43"/>
  <c r="AB49" i="43"/>
  <c r="AC49" i="43"/>
  <c r="AD49" i="43"/>
  <c r="AE49" i="43"/>
  <c r="AF49" i="43"/>
  <c r="AG49" i="43"/>
  <c r="D50" i="43"/>
  <c r="O50" i="43"/>
  <c r="P50" i="43"/>
  <c r="Q50" i="43"/>
  <c r="U50" i="43"/>
  <c r="V50" i="43"/>
  <c r="W50" i="43"/>
  <c r="X50" i="43"/>
  <c r="Y50" i="43"/>
  <c r="Z50" i="43"/>
  <c r="AA50" i="43"/>
  <c r="AB50" i="43"/>
  <c r="AC50" i="43"/>
  <c r="AD50" i="43"/>
  <c r="AE50" i="43"/>
  <c r="AF50" i="43"/>
  <c r="AG50" i="43"/>
  <c r="D51" i="43"/>
  <c r="O51" i="43"/>
  <c r="P51" i="43"/>
  <c r="Q51" i="43"/>
  <c r="U51" i="43"/>
  <c r="V51" i="43"/>
  <c r="W51" i="43"/>
  <c r="X51" i="43"/>
  <c r="Y51" i="43"/>
  <c r="Z51" i="43"/>
  <c r="AA51" i="43"/>
  <c r="AB51" i="43"/>
  <c r="AC51" i="43"/>
  <c r="AD51" i="43"/>
  <c r="AE51" i="43"/>
  <c r="AF51" i="43"/>
  <c r="AG51" i="43"/>
  <c r="D52" i="43"/>
  <c r="O52" i="43"/>
  <c r="P52" i="43"/>
  <c r="Q52" i="43"/>
  <c r="U52" i="43"/>
  <c r="V52" i="43"/>
  <c r="W52" i="43"/>
  <c r="X52" i="43"/>
  <c r="Y52" i="43"/>
  <c r="Z52" i="43"/>
  <c r="AA52" i="43"/>
  <c r="AB52" i="43"/>
  <c r="AC52" i="43"/>
  <c r="AD52" i="43"/>
  <c r="AE52" i="43"/>
  <c r="AF52" i="43"/>
  <c r="AG52" i="43"/>
  <c r="D53" i="43"/>
  <c r="O53" i="43"/>
  <c r="P53" i="43"/>
  <c r="Q53" i="43"/>
  <c r="U53" i="43"/>
  <c r="V53" i="43"/>
  <c r="W53" i="43"/>
  <c r="X53" i="43"/>
  <c r="Y53" i="43"/>
  <c r="Z53" i="43"/>
  <c r="AA53" i="43"/>
  <c r="AB53" i="43"/>
  <c r="AC53" i="43"/>
  <c r="AD53" i="43"/>
  <c r="AE53" i="43"/>
  <c r="AF53" i="43"/>
  <c r="AG53" i="43"/>
  <c r="D54" i="43"/>
  <c r="O54" i="43"/>
  <c r="P54" i="43"/>
  <c r="Q54" i="43"/>
  <c r="U54" i="43"/>
  <c r="V54" i="43"/>
  <c r="W54" i="43"/>
  <c r="X54" i="43"/>
  <c r="Y54" i="43"/>
  <c r="Z54" i="43"/>
  <c r="AA54" i="43"/>
  <c r="AB54" i="43"/>
  <c r="AC54" i="43"/>
  <c r="AD54" i="43"/>
  <c r="AE54" i="43"/>
  <c r="AF54" i="43"/>
  <c r="AG54" i="43"/>
  <c r="D55" i="43"/>
  <c r="O55" i="43"/>
  <c r="P55" i="43"/>
  <c r="Q55" i="43"/>
  <c r="U55" i="43"/>
  <c r="V55" i="43"/>
  <c r="W55" i="43"/>
  <c r="X55" i="43"/>
  <c r="Y55" i="43"/>
  <c r="Z55" i="43"/>
  <c r="AA55" i="43"/>
  <c r="AB55" i="43"/>
  <c r="AC55" i="43"/>
  <c r="AD55" i="43"/>
  <c r="AE55" i="43"/>
  <c r="AF55" i="43"/>
  <c r="AG55" i="43"/>
  <c r="D56" i="43"/>
  <c r="O56" i="43"/>
  <c r="P56" i="43"/>
  <c r="Q56" i="43"/>
  <c r="U56" i="43"/>
  <c r="V56" i="43"/>
  <c r="W56" i="43"/>
  <c r="X56" i="43"/>
  <c r="Y56" i="43"/>
  <c r="Z56" i="43"/>
  <c r="AA56" i="43"/>
  <c r="AB56" i="43"/>
  <c r="AC56" i="43"/>
  <c r="AD56" i="43"/>
  <c r="AE56" i="43"/>
  <c r="AF56" i="43"/>
  <c r="AG56" i="43"/>
  <c r="D57" i="43"/>
  <c r="O57" i="43"/>
  <c r="P57" i="43"/>
  <c r="Q57" i="43"/>
  <c r="U57" i="43"/>
  <c r="V57" i="43"/>
  <c r="W57" i="43"/>
  <c r="X57" i="43"/>
  <c r="Y57" i="43"/>
  <c r="Z57" i="43"/>
  <c r="AA57" i="43"/>
  <c r="AB57" i="43"/>
  <c r="AC57" i="43"/>
  <c r="AD57" i="43"/>
  <c r="AE57" i="43"/>
  <c r="AF57" i="43"/>
  <c r="AG57" i="43"/>
  <c r="D58" i="43"/>
  <c r="O58" i="43"/>
  <c r="P58" i="43"/>
  <c r="Q58" i="43"/>
  <c r="U58" i="43"/>
  <c r="V58" i="43"/>
  <c r="W58" i="43"/>
  <c r="X58" i="43"/>
  <c r="Y58" i="43"/>
  <c r="Z58" i="43"/>
  <c r="AA58" i="43"/>
  <c r="AB58" i="43"/>
  <c r="AC58" i="43"/>
  <c r="AD58" i="43"/>
  <c r="AE58" i="43"/>
  <c r="AF58" i="43"/>
  <c r="AG58" i="43"/>
  <c r="D59" i="43"/>
  <c r="O59" i="43"/>
  <c r="P59" i="43"/>
  <c r="Q59" i="43"/>
  <c r="U59" i="43"/>
  <c r="V59" i="43"/>
  <c r="W59" i="43"/>
  <c r="X59" i="43"/>
  <c r="Y59" i="43"/>
  <c r="Z59" i="43"/>
  <c r="AA59" i="43"/>
  <c r="AB59" i="43"/>
  <c r="AC59" i="43"/>
  <c r="AD59" i="43"/>
  <c r="AE59" i="43"/>
  <c r="AF59" i="43"/>
  <c r="AG59" i="43"/>
  <c r="D60" i="43"/>
  <c r="O60" i="43"/>
  <c r="P60" i="43"/>
  <c r="Q60" i="43"/>
  <c r="U60" i="43"/>
  <c r="V60" i="43"/>
  <c r="W60" i="43"/>
  <c r="X60" i="43"/>
  <c r="Y60" i="43"/>
  <c r="Z60" i="43"/>
  <c r="AA60" i="43"/>
  <c r="AB60" i="43"/>
  <c r="AC60" i="43"/>
  <c r="AD60" i="43"/>
  <c r="AE60" i="43"/>
  <c r="AF60" i="43"/>
  <c r="AG60" i="43"/>
  <c r="D61" i="43"/>
  <c r="O61" i="43"/>
  <c r="P61" i="43"/>
  <c r="Q61" i="43"/>
  <c r="U61" i="43"/>
  <c r="V61" i="43"/>
  <c r="W61" i="43"/>
  <c r="X61" i="43"/>
  <c r="Y61" i="43"/>
  <c r="Z61" i="43"/>
  <c r="AA61" i="43"/>
  <c r="AB61" i="43"/>
  <c r="AC61" i="43"/>
  <c r="AD61" i="43"/>
  <c r="AE61" i="43"/>
  <c r="AF61" i="43"/>
  <c r="AG61" i="43"/>
  <c r="D62" i="43"/>
  <c r="O62" i="43"/>
  <c r="P62" i="43"/>
  <c r="Q62" i="43"/>
  <c r="U62" i="43"/>
  <c r="V62" i="43"/>
  <c r="W62" i="43"/>
  <c r="X62" i="43"/>
  <c r="Y62" i="43"/>
  <c r="Z62" i="43"/>
  <c r="AA62" i="43"/>
  <c r="AB62" i="43"/>
  <c r="AC62" i="43"/>
  <c r="AD62" i="43"/>
  <c r="AE62" i="43"/>
  <c r="AF62" i="43"/>
  <c r="AG62" i="43"/>
  <c r="D63" i="43"/>
  <c r="O63" i="43"/>
  <c r="P63" i="43"/>
  <c r="Q63" i="43"/>
  <c r="U63" i="43"/>
  <c r="V63" i="43"/>
  <c r="W63" i="43"/>
  <c r="X63" i="43"/>
  <c r="Y63" i="43"/>
  <c r="Z63" i="43"/>
  <c r="AA63" i="43"/>
  <c r="AB63" i="43"/>
  <c r="AC63" i="43"/>
  <c r="AD63" i="43"/>
  <c r="AE63" i="43"/>
  <c r="AF63" i="43"/>
  <c r="AG63" i="43"/>
  <c r="D64" i="43"/>
  <c r="O64" i="43"/>
  <c r="P64" i="43"/>
  <c r="Q64" i="43"/>
  <c r="U64" i="43"/>
  <c r="V64" i="43"/>
  <c r="W64" i="43"/>
  <c r="X64" i="43"/>
  <c r="Y64" i="43"/>
  <c r="Z64" i="43"/>
  <c r="AA64" i="43"/>
  <c r="AB64" i="43"/>
  <c r="AC64" i="43"/>
  <c r="AD64" i="43"/>
  <c r="AE64" i="43"/>
  <c r="AF64" i="43"/>
  <c r="AG64" i="43"/>
  <c r="D65" i="43"/>
  <c r="O65" i="43"/>
  <c r="P65" i="43"/>
  <c r="Q65" i="43"/>
  <c r="U65" i="43"/>
  <c r="V65" i="43"/>
  <c r="W65" i="43"/>
  <c r="X65" i="43"/>
  <c r="Y65" i="43"/>
  <c r="Z65" i="43"/>
  <c r="AA65" i="43"/>
  <c r="AB65" i="43"/>
  <c r="AC65" i="43"/>
  <c r="AD65" i="43"/>
  <c r="AE65" i="43"/>
  <c r="AF65" i="43"/>
  <c r="AG65" i="43"/>
  <c r="D66" i="43"/>
  <c r="O66" i="43"/>
  <c r="P66" i="43"/>
  <c r="Q66" i="43"/>
  <c r="U66" i="43"/>
  <c r="V66" i="43"/>
  <c r="W66" i="43"/>
  <c r="X66" i="43"/>
  <c r="Y66" i="43"/>
  <c r="Z66" i="43"/>
  <c r="AA66" i="43"/>
  <c r="AB66" i="43"/>
  <c r="AC66" i="43"/>
  <c r="AD66" i="43"/>
  <c r="AE66" i="43"/>
  <c r="AF66" i="43"/>
  <c r="AG66" i="43"/>
  <c r="D67" i="43"/>
  <c r="O67" i="43"/>
  <c r="P67" i="43"/>
  <c r="Q67" i="43"/>
  <c r="U67" i="43"/>
  <c r="V67" i="43"/>
  <c r="W67" i="43"/>
  <c r="X67" i="43"/>
  <c r="Y67" i="43"/>
  <c r="Z67" i="43"/>
  <c r="AA67" i="43"/>
  <c r="AB67" i="43"/>
  <c r="AC67" i="43"/>
  <c r="AD67" i="43"/>
  <c r="AE67" i="43"/>
  <c r="AF67" i="43"/>
  <c r="AG67" i="43"/>
  <c r="D68" i="43"/>
  <c r="O68" i="43"/>
  <c r="P68" i="43"/>
  <c r="Q68" i="43"/>
  <c r="U68" i="43"/>
  <c r="V68" i="43"/>
  <c r="W68" i="43"/>
  <c r="X68" i="43"/>
  <c r="Y68" i="43"/>
  <c r="Z68" i="43"/>
  <c r="AA68" i="43"/>
  <c r="AB68" i="43"/>
  <c r="AC68" i="43"/>
  <c r="AD68" i="43"/>
  <c r="AE68" i="43"/>
  <c r="AF68" i="43"/>
  <c r="AG68" i="43"/>
  <c r="D69" i="43"/>
  <c r="O69" i="43"/>
  <c r="P69" i="43"/>
  <c r="Q69" i="43"/>
  <c r="U69" i="43"/>
  <c r="V69" i="43"/>
  <c r="W69" i="43"/>
  <c r="X69" i="43"/>
  <c r="Y69" i="43"/>
  <c r="Z69" i="43"/>
  <c r="AA69" i="43"/>
  <c r="AB69" i="43"/>
  <c r="AC69" i="43"/>
  <c r="AD69" i="43"/>
  <c r="AE69" i="43"/>
  <c r="AF69" i="43"/>
  <c r="AG69" i="43"/>
  <c r="D70" i="43"/>
  <c r="O70" i="43"/>
  <c r="P70" i="43"/>
  <c r="Q70" i="43"/>
  <c r="U70" i="43"/>
  <c r="V70" i="43"/>
  <c r="W70" i="43"/>
  <c r="X70" i="43"/>
  <c r="Y70" i="43"/>
  <c r="Z70" i="43"/>
  <c r="AA70" i="43"/>
  <c r="AB70" i="43"/>
  <c r="AC70" i="43"/>
  <c r="AD70" i="43"/>
  <c r="AE70" i="43"/>
  <c r="AF70" i="43"/>
  <c r="AG70" i="43"/>
  <c r="D71" i="43"/>
  <c r="O71" i="43"/>
  <c r="P71" i="43"/>
  <c r="Q71" i="43"/>
  <c r="U71" i="43"/>
  <c r="V71" i="43"/>
  <c r="W71" i="43"/>
  <c r="X71" i="43"/>
  <c r="Y71" i="43"/>
  <c r="Z71" i="43"/>
  <c r="AA71" i="43"/>
  <c r="AB71" i="43"/>
  <c r="AC71" i="43"/>
  <c r="AD71" i="43"/>
  <c r="AE71" i="43"/>
  <c r="AF71" i="43"/>
  <c r="AG71" i="43"/>
  <c r="D72" i="43"/>
  <c r="O72" i="43"/>
  <c r="P72" i="43"/>
  <c r="Q72" i="43"/>
  <c r="U72" i="43"/>
  <c r="V72" i="43"/>
  <c r="W72" i="43"/>
  <c r="X72" i="43"/>
  <c r="Y72" i="43"/>
  <c r="Z72" i="43"/>
  <c r="AA72" i="43"/>
  <c r="AB72" i="43"/>
  <c r="AC72" i="43"/>
  <c r="AD72" i="43"/>
  <c r="AE72" i="43"/>
  <c r="AF72" i="43"/>
  <c r="AG72" i="43"/>
  <c r="D73" i="43"/>
  <c r="O73" i="43"/>
  <c r="P73" i="43"/>
  <c r="Q73" i="43"/>
  <c r="U73" i="43"/>
  <c r="V73" i="43"/>
  <c r="W73" i="43"/>
  <c r="X73" i="43"/>
  <c r="Y73" i="43"/>
  <c r="Z73" i="43"/>
  <c r="AA73" i="43"/>
  <c r="AB73" i="43"/>
  <c r="AC73" i="43"/>
  <c r="AD73" i="43"/>
  <c r="AE73" i="43"/>
  <c r="AF73" i="43"/>
  <c r="AG73" i="43"/>
  <c r="D74" i="43"/>
  <c r="O74" i="43"/>
  <c r="P74" i="43"/>
  <c r="Q74" i="43"/>
  <c r="U74" i="43"/>
  <c r="V74" i="43"/>
  <c r="W74" i="43"/>
  <c r="X74" i="43"/>
  <c r="Y74" i="43"/>
  <c r="Z74" i="43"/>
  <c r="AA74" i="43"/>
  <c r="AB74" i="43"/>
  <c r="AC74" i="43"/>
  <c r="AD74" i="43"/>
  <c r="AE74" i="43"/>
  <c r="AF74" i="43"/>
  <c r="AG74" i="43"/>
  <c r="D75" i="43"/>
  <c r="O75" i="43"/>
  <c r="P75" i="43"/>
  <c r="Q75" i="43"/>
  <c r="U75" i="43"/>
  <c r="V75" i="43"/>
  <c r="W75" i="43"/>
  <c r="X75" i="43"/>
  <c r="Y75" i="43"/>
  <c r="Z75" i="43"/>
  <c r="AA75" i="43"/>
  <c r="AB75" i="43"/>
  <c r="AC75" i="43"/>
  <c r="AD75" i="43"/>
  <c r="AE75" i="43"/>
  <c r="AF75" i="43"/>
  <c r="AG75" i="43"/>
  <c r="D76" i="43"/>
  <c r="O76" i="43"/>
  <c r="P76" i="43"/>
  <c r="Q76" i="43"/>
  <c r="U76" i="43"/>
  <c r="V76" i="43"/>
  <c r="W76" i="43"/>
  <c r="X76" i="43"/>
  <c r="Y76" i="43"/>
  <c r="Z76" i="43"/>
  <c r="AA76" i="43"/>
  <c r="AB76" i="43"/>
  <c r="AC76" i="43"/>
  <c r="AD76" i="43"/>
  <c r="AE76" i="43"/>
  <c r="AF76" i="43"/>
  <c r="AG76" i="43"/>
  <c r="D77" i="43"/>
  <c r="O77" i="43"/>
  <c r="P77" i="43"/>
  <c r="Q77" i="43"/>
  <c r="U77" i="43"/>
  <c r="V77" i="43"/>
  <c r="W77" i="43"/>
  <c r="X77" i="43"/>
  <c r="Y77" i="43"/>
  <c r="Z77" i="43"/>
  <c r="AA77" i="43"/>
  <c r="AB77" i="43"/>
  <c r="AC77" i="43"/>
  <c r="AD77" i="43"/>
  <c r="AE77" i="43"/>
  <c r="AF77" i="43"/>
  <c r="AG77" i="43"/>
  <c r="D78" i="43"/>
  <c r="O78" i="43"/>
  <c r="P78" i="43"/>
  <c r="Q78" i="43"/>
  <c r="U78" i="43"/>
  <c r="V78" i="43"/>
  <c r="W78" i="43"/>
  <c r="X78" i="43"/>
  <c r="Y78" i="43"/>
  <c r="Z78" i="43"/>
  <c r="AA78" i="43"/>
  <c r="AB78" i="43"/>
  <c r="AC78" i="43"/>
  <c r="AD78" i="43"/>
  <c r="AE78" i="43"/>
  <c r="AF78" i="43"/>
  <c r="AG78" i="43"/>
  <c r="D79" i="43"/>
  <c r="O79" i="43"/>
  <c r="P79" i="43"/>
  <c r="Q79" i="43"/>
  <c r="U79" i="43"/>
  <c r="V79" i="43"/>
  <c r="W79" i="43"/>
  <c r="X79" i="43"/>
  <c r="Y79" i="43"/>
  <c r="Z79" i="43"/>
  <c r="AA79" i="43"/>
  <c r="AB79" i="43"/>
  <c r="AC79" i="43"/>
  <c r="AD79" i="43"/>
  <c r="AE79" i="43"/>
  <c r="AF79" i="43"/>
  <c r="AG79" i="43"/>
  <c r="D80" i="43"/>
  <c r="O80" i="43"/>
  <c r="P80" i="43"/>
  <c r="Q80" i="43"/>
  <c r="U80" i="43"/>
  <c r="V80" i="43"/>
  <c r="W80" i="43"/>
  <c r="X80" i="43"/>
  <c r="Y80" i="43"/>
  <c r="Z80" i="43"/>
  <c r="AA80" i="43"/>
  <c r="AB80" i="43"/>
  <c r="AC80" i="43"/>
  <c r="AD80" i="43"/>
  <c r="AE80" i="43"/>
  <c r="AF80" i="43"/>
  <c r="AG80" i="43"/>
  <c r="D81" i="43"/>
  <c r="O81" i="43"/>
  <c r="P81" i="43"/>
  <c r="Q81" i="43"/>
  <c r="U81" i="43"/>
  <c r="V81" i="43"/>
  <c r="W81" i="43"/>
  <c r="X81" i="43"/>
  <c r="Y81" i="43"/>
  <c r="Z81" i="43"/>
  <c r="AA81" i="43"/>
  <c r="AB81" i="43"/>
  <c r="AC81" i="43"/>
  <c r="AD81" i="43"/>
  <c r="AE81" i="43"/>
  <c r="AF81" i="43"/>
  <c r="AG81" i="43"/>
  <c r="D82" i="43"/>
  <c r="O82" i="43"/>
  <c r="P82" i="43"/>
  <c r="Q82" i="43"/>
  <c r="U82" i="43"/>
  <c r="V82" i="43"/>
  <c r="W82" i="43"/>
  <c r="X82" i="43"/>
  <c r="Y82" i="43"/>
  <c r="Z82" i="43"/>
  <c r="AA82" i="43"/>
  <c r="AB82" i="43"/>
  <c r="AC82" i="43"/>
  <c r="AD82" i="43"/>
  <c r="AE82" i="43"/>
  <c r="AF82" i="43"/>
  <c r="AG82" i="43"/>
  <c r="D83" i="43"/>
  <c r="O83" i="43"/>
  <c r="P83" i="43"/>
  <c r="Q83" i="43"/>
  <c r="U83" i="43"/>
  <c r="V83" i="43"/>
  <c r="W83" i="43"/>
  <c r="X83" i="43"/>
  <c r="Y83" i="43"/>
  <c r="Z83" i="43"/>
  <c r="AA83" i="43"/>
  <c r="AB83" i="43"/>
  <c r="AC83" i="43"/>
  <c r="AD83" i="43"/>
  <c r="AE83" i="43"/>
  <c r="AF83" i="43"/>
  <c r="AG83" i="43"/>
  <c r="D84" i="43"/>
  <c r="O84" i="43"/>
  <c r="P84" i="43"/>
  <c r="Q84" i="43"/>
  <c r="U84" i="43"/>
  <c r="V84" i="43"/>
  <c r="W84" i="43"/>
  <c r="X84" i="43"/>
  <c r="Y84" i="43"/>
  <c r="Z84" i="43"/>
  <c r="AA84" i="43"/>
  <c r="AB84" i="43"/>
  <c r="AC84" i="43"/>
  <c r="AD84" i="43"/>
  <c r="AE84" i="43"/>
  <c r="AF84" i="43"/>
  <c r="AG84" i="43"/>
  <c r="D85" i="43"/>
  <c r="O85" i="43"/>
  <c r="P85" i="43"/>
  <c r="Q85" i="43"/>
  <c r="U85" i="43"/>
  <c r="V85" i="43"/>
  <c r="W85" i="43"/>
  <c r="X85" i="43"/>
  <c r="Y85" i="43"/>
  <c r="Z85" i="43"/>
  <c r="AA85" i="43"/>
  <c r="AB85" i="43"/>
  <c r="AC85" i="43"/>
  <c r="AD85" i="43"/>
  <c r="AE85" i="43"/>
  <c r="AF85" i="43"/>
  <c r="AG85" i="43"/>
  <c r="D86" i="43"/>
  <c r="O86" i="43"/>
  <c r="P86" i="43"/>
  <c r="Q86" i="43"/>
  <c r="U86" i="43"/>
  <c r="V86" i="43"/>
  <c r="W86" i="43"/>
  <c r="X86" i="43"/>
  <c r="Y86" i="43"/>
  <c r="Z86" i="43"/>
  <c r="AA86" i="43"/>
  <c r="AB86" i="43"/>
  <c r="AC86" i="43"/>
  <c r="AD86" i="43"/>
  <c r="AE86" i="43"/>
  <c r="AF86" i="43"/>
  <c r="AG86" i="43"/>
  <c r="D87" i="43"/>
  <c r="O87" i="43"/>
  <c r="P87" i="43"/>
  <c r="Q87" i="43"/>
  <c r="U87" i="43"/>
  <c r="V87" i="43"/>
  <c r="W87" i="43"/>
  <c r="X87" i="43"/>
  <c r="Y87" i="43"/>
  <c r="Z87" i="43"/>
  <c r="AA87" i="43"/>
  <c r="AB87" i="43"/>
  <c r="AC87" i="43"/>
  <c r="AD87" i="43"/>
  <c r="AE87" i="43"/>
  <c r="AF87" i="43"/>
  <c r="AG87" i="43"/>
  <c r="D88" i="43"/>
  <c r="O88" i="43"/>
  <c r="P88" i="43"/>
  <c r="Q88" i="43"/>
  <c r="U88" i="43"/>
  <c r="V88" i="43"/>
  <c r="W88" i="43"/>
  <c r="X88" i="43"/>
  <c r="Y88" i="43"/>
  <c r="Z88" i="43"/>
  <c r="AA88" i="43"/>
  <c r="AB88" i="43"/>
  <c r="AC88" i="43"/>
  <c r="AD88" i="43"/>
  <c r="AE88" i="43"/>
  <c r="AF88" i="43"/>
  <c r="AG88" i="43"/>
  <c r="D89" i="43"/>
  <c r="O89" i="43"/>
  <c r="P89" i="43"/>
  <c r="Q89" i="43"/>
  <c r="U89" i="43"/>
  <c r="V89" i="43"/>
  <c r="W89" i="43"/>
  <c r="X89" i="43"/>
  <c r="Y89" i="43"/>
  <c r="Z89" i="43"/>
  <c r="AA89" i="43"/>
  <c r="AB89" i="43"/>
  <c r="AC89" i="43"/>
  <c r="AD89" i="43"/>
  <c r="AE89" i="43"/>
  <c r="AF89" i="43"/>
  <c r="AG89" i="43"/>
  <c r="D90" i="43"/>
  <c r="O90" i="43"/>
  <c r="P90" i="43"/>
  <c r="Q90" i="43"/>
  <c r="U90" i="43"/>
  <c r="V90" i="43"/>
  <c r="W90" i="43"/>
  <c r="X90" i="43"/>
  <c r="Y90" i="43"/>
  <c r="Z90" i="43"/>
  <c r="AA90" i="43"/>
  <c r="AB90" i="43"/>
  <c r="AC90" i="43"/>
  <c r="AD90" i="43"/>
  <c r="AE90" i="43"/>
  <c r="AF90" i="43"/>
  <c r="AG90" i="43"/>
  <c r="D91" i="43"/>
  <c r="O91" i="43"/>
  <c r="P91" i="43"/>
  <c r="Q91" i="43"/>
  <c r="U91" i="43"/>
  <c r="V91" i="43"/>
  <c r="W91" i="43"/>
  <c r="X91" i="43"/>
  <c r="Y91" i="43"/>
  <c r="Z91" i="43"/>
  <c r="AA91" i="43"/>
  <c r="AB91" i="43"/>
  <c r="AC91" i="43"/>
  <c r="AD91" i="43"/>
  <c r="AE91" i="43"/>
  <c r="AF91" i="43"/>
  <c r="AG91" i="43"/>
  <c r="D92" i="43"/>
  <c r="O92" i="43"/>
  <c r="P92" i="43"/>
  <c r="Q92" i="43"/>
  <c r="U92" i="43"/>
  <c r="V92" i="43"/>
  <c r="W92" i="43"/>
  <c r="X92" i="43"/>
  <c r="Y92" i="43"/>
  <c r="Z92" i="43"/>
  <c r="AA92" i="43"/>
  <c r="AB92" i="43"/>
  <c r="AC92" i="43"/>
  <c r="AD92" i="43"/>
  <c r="AE92" i="43"/>
  <c r="AF92" i="43"/>
  <c r="AG92" i="43"/>
  <c r="D93" i="43"/>
  <c r="O93" i="43"/>
  <c r="P93" i="43"/>
  <c r="Q93" i="43"/>
  <c r="U93" i="43"/>
  <c r="V93" i="43"/>
  <c r="W93" i="43"/>
  <c r="X93" i="43"/>
  <c r="Y93" i="43"/>
  <c r="Z93" i="43"/>
  <c r="AA93" i="43"/>
  <c r="AB93" i="43"/>
  <c r="AC93" i="43"/>
  <c r="AD93" i="43"/>
  <c r="AE93" i="43"/>
  <c r="AF93" i="43"/>
  <c r="AG93" i="43"/>
  <c r="D94" i="43"/>
  <c r="O94" i="43"/>
  <c r="P94" i="43"/>
  <c r="Q94" i="43"/>
  <c r="U94" i="43"/>
  <c r="V94" i="43"/>
  <c r="W94" i="43"/>
  <c r="X94" i="43"/>
  <c r="Y94" i="43"/>
  <c r="Z94" i="43"/>
  <c r="AA94" i="43"/>
  <c r="AB94" i="43"/>
  <c r="AC94" i="43"/>
  <c r="AD94" i="43"/>
  <c r="AE94" i="43"/>
  <c r="AF94" i="43"/>
  <c r="AG94" i="43"/>
  <c r="D95" i="43"/>
  <c r="O95" i="43"/>
  <c r="P95" i="43"/>
  <c r="Q95" i="43"/>
  <c r="U95" i="43"/>
  <c r="V95" i="43"/>
  <c r="W95" i="43"/>
  <c r="X95" i="43"/>
  <c r="Y95" i="43"/>
  <c r="Z95" i="43"/>
  <c r="AA95" i="43"/>
  <c r="AB95" i="43"/>
  <c r="AC95" i="43"/>
  <c r="AD95" i="43"/>
  <c r="AE95" i="43"/>
  <c r="AF95" i="43"/>
  <c r="AG95" i="43"/>
  <c r="D96" i="43"/>
  <c r="O96" i="43"/>
  <c r="P96" i="43"/>
  <c r="Q96" i="43"/>
  <c r="U96" i="43"/>
  <c r="V96" i="43"/>
  <c r="W96" i="43"/>
  <c r="X96" i="43"/>
  <c r="Y96" i="43"/>
  <c r="Z96" i="43"/>
  <c r="AA96" i="43"/>
  <c r="AB96" i="43"/>
  <c r="AC96" i="43"/>
  <c r="AD96" i="43"/>
  <c r="AE96" i="43"/>
  <c r="AF96" i="43"/>
  <c r="AG96" i="43"/>
  <c r="D97" i="43"/>
  <c r="O97" i="43"/>
  <c r="P97" i="43"/>
  <c r="Q97" i="43"/>
  <c r="U97" i="43"/>
  <c r="V97" i="43"/>
  <c r="W97" i="43"/>
  <c r="X97" i="43"/>
  <c r="Y97" i="43"/>
  <c r="Z97" i="43"/>
  <c r="AA97" i="43"/>
  <c r="AB97" i="43"/>
  <c r="AC97" i="43"/>
  <c r="AD97" i="43"/>
  <c r="AE97" i="43"/>
  <c r="AF97" i="43"/>
  <c r="AG97" i="43"/>
  <c r="D98" i="43"/>
  <c r="O98" i="43"/>
  <c r="P98" i="43"/>
  <c r="Q98" i="43"/>
  <c r="U98" i="43"/>
  <c r="V98" i="43"/>
  <c r="W98" i="43"/>
  <c r="X98" i="43"/>
  <c r="Y98" i="43"/>
  <c r="Z98" i="43"/>
  <c r="AA98" i="43"/>
  <c r="AB98" i="43"/>
  <c r="AC98" i="43"/>
  <c r="AD98" i="43"/>
  <c r="AE98" i="43"/>
  <c r="AF98" i="43"/>
  <c r="AG98" i="43"/>
  <c r="D99" i="43"/>
  <c r="O99" i="43"/>
  <c r="P99" i="43"/>
  <c r="Q99" i="43"/>
  <c r="U99" i="43"/>
  <c r="V99" i="43"/>
  <c r="W99" i="43"/>
  <c r="X99" i="43"/>
  <c r="Y99" i="43"/>
  <c r="Z99" i="43"/>
  <c r="AA99" i="43"/>
  <c r="AB99" i="43"/>
  <c r="AC99" i="43"/>
  <c r="AD99" i="43"/>
  <c r="AE99" i="43"/>
  <c r="AF99" i="43"/>
  <c r="AG99" i="43"/>
  <c r="D100" i="43"/>
  <c r="O100" i="43"/>
  <c r="P100" i="43"/>
  <c r="Q100" i="43"/>
  <c r="U100" i="43"/>
  <c r="V100" i="43"/>
  <c r="W100" i="43"/>
  <c r="X100" i="43"/>
  <c r="Y100" i="43"/>
  <c r="Z100" i="43"/>
  <c r="AA100" i="43"/>
  <c r="AB100" i="43"/>
  <c r="AC100" i="43"/>
  <c r="AD100" i="43"/>
  <c r="AE100" i="43"/>
  <c r="AF100" i="43"/>
  <c r="AG100" i="43"/>
  <c r="D101" i="43"/>
  <c r="O101" i="43"/>
  <c r="P101" i="43"/>
  <c r="Q101" i="43"/>
  <c r="U101" i="43"/>
  <c r="V101" i="43"/>
  <c r="W101" i="43"/>
  <c r="X101" i="43"/>
  <c r="Y101" i="43"/>
  <c r="Z101" i="43"/>
  <c r="AA101" i="43"/>
  <c r="AB101" i="43"/>
  <c r="AC101" i="43"/>
  <c r="AD101" i="43"/>
  <c r="AE101" i="43"/>
  <c r="AF101" i="43"/>
  <c r="AG101" i="43"/>
  <c r="D102" i="43"/>
  <c r="O102" i="43"/>
  <c r="P102" i="43"/>
  <c r="Q102" i="43"/>
  <c r="U102" i="43"/>
  <c r="V102" i="43"/>
  <c r="W102" i="43"/>
  <c r="X102" i="43"/>
  <c r="Y102" i="43"/>
  <c r="Z102" i="43"/>
  <c r="AA102" i="43"/>
  <c r="AB102" i="43"/>
  <c r="AC102" i="43"/>
  <c r="AD102" i="43"/>
  <c r="AE102" i="43"/>
  <c r="AF102" i="43"/>
  <c r="AG102" i="43"/>
  <c r="D103" i="43"/>
  <c r="O103" i="43"/>
  <c r="P103" i="43"/>
  <c r="Q103" i="43"/>
  <c r="U103" i="43"/>
  <c r="V103" i="43"/>
  <c r="W103" i="43"/>
  <c r="X103" i="43"/>
  <c r="Y103" i="43"/>
  <c r="Z103" i="43"/>
  <c r="AA103" i="43"/>
  <c r="AB103" i="43"/>
  <c r="AC103" i="43"/>
  <c r="AD103" i="43"/>
  <c r="AE103" i="43"/>
  <c r="AF103" i="43"/>
  <c r="AG103" i="43"/>
  <c r="D104" i="43"/>
  <c r="O104" i="43"/>
  <c r="P104" i="43"/>
  <c r="Q104" i="43"/>
  <c r="U104" i="43"/>
  <c r="V104" i="43"/>
  <c r="W104" i="43"/>
  <c r="X104" i="43"/>
  <c r="Y104" i="43"/>
  <c r="Z104" i="43"/>
  <c r="AA104" i="43"/>
  <c r="AB104" i="43"/>
  <c r="AC104" i="43"/>
  <c r="AD104" i="43"/>
  <c r="AE104" i="43"/>
  <c r="AF104" i="43"/>
  <c r="AG104" i="43"/>
  <c r="D105" i="43"/>
  <c r="O105" i="43"/>
  <c r="P105" i="43"/>
  <c r="Q105" i="43"/>
  <c r="U105" i="43"/>
  <c r="V105" i="43"/>
  <c r="W105" i="43"/>
  <c r="X105" i="43"/>
  <c r="Y105" i="43"/>
  <c r="Z105" i="43"/>
  <c r="AA105" i="43"/>
  <c r="AB105" i="43"/>
  <c r="AC105" i="43"/>
  <c r="AD105" i="43"/>
  <c r="AE105" i="43"/>
  <c r="AF105" i="43"/>
  <c r="AG105" i="43"/>
  <c r="D106" i="43"/>
  <c r="O106" i="43"/>
  <c r="P106" i="43"/>
  <c r="Q106" i="43"/>
  <c r="U106" i="43"/>
  <c r="V106" i="43"/>
  <c r="W106" i="43"/>
  <c r="X106" i="43"/>
  <c r="Y106" i="43"/>
  <c r="Z106" i="43"/>
  <c r="AA106" i="43"/>
  <c r="AB106" i="43"/>
  <c r="AC106" i="43"/>
  <c r="AD106" i="43"/>
  <c r="AE106" i="43"/>
  <c r="AF106" i="43"/>
  <c r="AG106" i="43"/>
  <c r="D107" i="43"/>
  <c r="O107" i="43"/>
  <c r="P107" i="43"/>
  <c r="Q107" i="43"/>
  <c r="U107" i="43"/>
  <c r="V107" i="43"/>
  <c r="W107" i="43"/>
  <c r="X107" i="43"/>
  <c r="Y107" i="43"/>
  <c r="Z107" i="43"/>
  <c r="AA107" i="43"/>
  <c r="AB107" i="43"/>
  <c r="AC107" i="43"/>
  <c r="AD107" i="43"/>
  <c r="AE107" i="43"/>
  <c r="AF107" i="43"/>
  <c r="AG107" i="43"/>
  <c r="D108" i="43"/>
  <c r="O108" i="43"/>
  <c r="P108" i="43"/>
  <c r="Q108" i="43"/>
  <c r="U108" i="43"/>
  <c r="V108" i="43"/>
  <c r="W108" i="43"/>
  <c r="X108" i="43"/>
  <c r="Y108" i="43"/>
  <c r="Z108" i="43"/>
  <c r="AA108" i="43"/>
  <c r="AB108" i="43"/>
  <c r="AC108" i="43"/>
  <c r="AD108" i="43"/>
  <c r="AE108" i="43"/>
  <c r="AF108" i="43"/>
  <c r="AG108" i="43"/>
  <c r="D109" i="43"/>
  <c r="O109" i="43"/>
  <c r="P109" i="43"/>
  <c r="Q109" i="43"/>
  <c r="U109" i="43"/>
  <c r="V109" i="43"/>
  <c r="W109" i="43"/>
  <c r="X109" i="43"/>
  <c r="Y109" i="43"/>
  <c r="Z109" i="43"/>
  <c r="AA109" i="43"/>
  <c r="AB109" i="43"/>
  <c r="AC109" i="43"/>
  <c r="AD109" i="43"/>
  <c r="AE109" i="43"/>
  <c r="AF109" i="43"/>
  <c r="AG109" i="43"/>
  <c r="D110" i="43"/>
  <c r="O110" i="43"/>
  <c r="P110" i="43"/>
  <c r="Q110" i="43"/>
  <c r="U110" i="43"/>
  <c r="V110" i="43"/>
  <c r="W110" i="43"/>
  <c r="X110" i="43"/>
  <c r="Y110" i="43"/>
  <c r="Z110" i="43"/>
  <c r="AA110" i="43"/>
  <c r="AB110" i="43"/>
  <c r="AC110" i="43"/>
  <c r="AD110" i="43"/>
  <c r="AE110" i="43"/>
  <c r="AF110" i="43"/>
  <c r="AG110" i="43"/>
  <c r="D111" i="43"/>
  <c r="O111" i="43"/>
  <c r="P111" i="43"/>
  <c r="Q111" i="43"/>
  <c r="U111" i="43"/>
  <c r="V111" i="43"/>
  <c r="W111" i="43"/>
  <c r="X111" i="43"/>
  <c r="Y111" i="43"/>
  <c r="Z111" i="43"/>
  <c r="AA111" i="43"/>
  <c r="AB111" i="43"/>
  <c r="AC111" i="43"/>
  <c r="AD111" i="43"/>
  <c r="AE111" i="43"/>
  <c r="AF111" i="43"/>
  <c r="AG111" i="43"/>
  <c r="D112" i="43"/>
  <c r="O112" i="43"/>
  <c r="P112" i="43"/>
  <c r="Q112" i="43"/>
  <c r="U112" i="43"/>
  <c r="V112" i="43"/>
  <c r="W112" i="43"/>
  <c r="X112" i="43"/>
  <c r="Y112" i="43"/>
  <c r="Z112" i="43"/>
  <c r="AA112" i="43"/>
  <c r="AB112" i="43"/>
  <c r="AC112" i="43"/>
  <c r="AD112" i="43"/>
  <c r="AE112" i="43"/>
  <c r="AF112" i="43"/>
  <c r="AG112" i="43"/>
  <c r="D113" i="43"/>
  <c r="O113" i="43"/>
  <c r="P113" i="43"/>
  <c r="Q113" i="43"/>
  <c r="U113" i="43"/>
  <c r="V113" i="43"/>
  <c r="W113" i="43"/>
  <c r="X113" i="43"/>
  <c r="Y113" i="43"/>
  <c r="Z113" i="43"/>
  <c r="AA113" i="43"/>
  <c r="AB113" i="43"/>
  <c r="AC113" i="43"/>
  <c r="AD113" i="43"/>
  <c r="AE113" i="43"/>
  <c r="AF113" i="43"/>
  <c r="AG113" i="43"/>
  <c r="D114" i="43"/>
  <c r="O114" i="43"/>
  <c r="P114" i="43"/>
  <c r="Q114" i="43"/>
  <c r="U114" i="43"/>
  <c r="V114" i="43"/>
  <c r="W114" i="43"/>
  <c r="X114" i="43"/>
  <c r="Y114" i="43"/>
  <c r="Z114" i="43"/>
  <c r="AA114" i="43"/>
  <c r="AB114" i="43"/>
  <c r="AC114" i="43"/>
  <c r="AD114" i="43"/>
  <c r="AE114" i="43"/>
  <c r="AF114" i="43"/>
  <c r="AG114" i="43"/>
  <c r="D115" i="43"/>
  <c r="O115" i="43"/>
  <c r="P115" i="43"/>
  <c r="Q115" i="43"/>
  <c r="U115" i="43"/>
  <c r="V115" i="43"/>
  <c r="W115" i="43"/>
  <c r="X115" i="43"/>
  <c r="Y115" i="43"/>
  <c r="Z115" i="43"/>
  <c r="AA115" i="43"/>
  <c r="AB115" i="43"/>
  <c r="AC115" i="43"/>
  <c r="AD115" i="43"/>
  <c r="AE115" i="43"/>
  <c r="AF115" i="43"/>
  <c r="AG115" i="43"/>
  <c r="D116" i="43"/>
  <c r="O116" i="43"/>
  <c r="P116" i="43"/>
  <c r="Q116" i="43"/>
  <c r="U116" i="43"/>
  <c r="V116" i="43"/>
  <c r="W116" i="43"/>
  <c r="X116" i="43"/>
  <c r="Y116" i="43"/>
  <c r="Z116" i="43"/>
  <c r="AA116" i="43"/>
  <c r="AB116" i="43"/>
  <c r="AC116" i="43"/>
  <c r="AD116" i="43"/>
  <c r="AE116" i="43"/>
  <c r="AF116" i="43"/>
  <c r="AG116" i="43"/>
  <c r="D117" i="43"/>
  <c r="O117" i="43"/>
  <c r="P117" i="43"/>
  <c r="Q117" i="43"/>
  <c r="U117" i="43"/>
  <c r="V117" i="43"/>
  <c r="W117" i="43"/>
  <c r="X117" i="43"/>
  <c r="Y117" i="43"/>
  <c r="Z117" i="43"/>
  <c r="AA117" i="43"/>
  <c r="AB117" i="43"/>
  <c r="AC117" i="43"/>
  <c r="AD117" i="43"/>
  <c r="AE117" i="43"/>
  <c r="AF117" i="43"/>
  <c r="AG117" i="43"/>
  <c r="D118" i="43"/>
  <c r="O118" i="43"/>
  <c r="P118" i="43"/>
  <c r="Q118" i="43"/>
  <c r="U118" i="43"/>
  <c r="V118" i="43"/>
  <c r="W118" i="43"/>
  <c r="X118" i="43"/>
  <c r="Y118" i="43"/>
  <c r="Z118" i="43"/>
  <c r="AA118" i="43"/>
  <c r="AB118" i="43"/>
  <c r="AC118" i="43"/>
  <c r="AD118" i="43"/>
  <c r="AE118" i="43"/>
  <c r="AF118" i="43"/>
  <c r="AG118" i="43"/>
  <c r="D119" i="43"/>
  <c r="O119" i="43"/>
  <c r="P119" i="43"/>
  <c r="Q119" i="43"/>
  <c r="U119" i="43"/>
  <c r="V119" i="43"/>
  <c r="W119" i="43"/>
  <c r="X119" i="43"/>
  <c r="Y119" i="43"/>
  <c r="Z119" i="43"/>
  <c r="AA119" i="43"/>
  <c r="AB119" i="43"/>
  <c r="AC119" i="43"/>
  <c r="AD119" i="43"/>
  <c r="AE119" i="43"/>
  <c r="AF119" i="43"/>
  <c r="AG119" i="43"/>
  <c r="D120" i="43"/>
  <c r="O120" i="43"/>
  <c r="P120" i="43"/>
  <c r="Q120" i="43"/>
  <c r="U120" i="43"/>
  <c r="V120" i="43"/>
  <c r="W120" i="43"/>
  <c r="X120" i="43"/>
  <c r="Y120" i="43"/>
  <c r="Z120" i="43"/>
  <c r="AA120" i="43"/>
  <c r="AB120" i="43"/>
  <c r="AC120" i="43"/>
  <c r="AD120" i="43"/>
  <c r="AE120" i="43"/>
  <c r="AF120" i="43"/>
  <c r="AG120" i="43"/>
  <c r="D121" i="43"/>
  <c r="O121" i="43"/>
  <c r="P121" i="43"/>
  <c r="Q121" i="43"/>
  <c r="U121" i="43"/>
  <c r="V121" i="43"/>
  <c r="W121" i="43"/>
  <c r="X121" i="43"/>
  <c r="Y121" i="43"/>
  <c r="Z121" i="43"/>
  <c r="AA121" i="43"/>
  <c r="AB121" i="43"/>
  <c r="AC121" i="43"/>
  <c r="AD121" i="43"/>
  <c r="AE121" i="43"/>
  <c r="AF121" i="43"/>
  <c r="AG121" i="43"/>
  <c r="D122" i="43"/>
  <c r="O122" i="43"/>
  <c r="P122" i="43"/>
  <c r="Q122" i="43"/>
  <c r="U122" i="43"/>
  <c r="V122" i="43"/>
  <c r="W122" i="43"/>
  <c r="X122" i="43"/>
  <c r="Y122" i="43"/>
  <c r="Z122" i="43"/>
  <c r="AA122" i="43"/>
  <c r="AB122" i="43"/>
  <c r="AC122" i="43"/>
  <c r="AD122" i="43"/>
  <c r="AE122" i="43"/>
  <c r="AF122" i="43"/>
  <c r="AG122" i="43"/>
  <c r="D123" i="43"/>
  <c r="O123" i="43"/>
  <c r="P123" i="43"/>
  <c r="Q123" i="43"/>
  <c r="U123" i="43"/>
  <c r="V123" i="43"/>
  <c r="W123" i="43"/>
  <c r="X123" i="43"/>
  <c r="Y123" i="43"/>
  <c r="Z123" i="43"/>
  <c r="AA123" i="43"/>
  <c r="AB123" i="43"/>
  <c r="AC123" i="43"/>
  <c r="AD123" i="43"/>
  <c r="AE123" i="43"/>
  <c r="AF123" i="43"/>
  <c r="AG123" i="43"/>
  <c r="D124" i="43"/>
  <c r="O124" i="43"/>
  <c r="P124" i="43"/>
  <c r="Q124" i="43"/>
  <c r="U124" i="43"/>
  <c r="V124" i="43"/>
  <c r="W124" i="43"/>
  <c r="X124" i="43"/>
  <c r="Y124" i="43"/>
  <c r="Z124" i="43"/>
  <c r="AA124" i="43"/>
  <c r="AB124" i="43"/>
  <c r="AC124" i="43"/>
  <c r="AD124" i="43"/>
  <c r="AE124" i="43"/>
  <c r="AF124" i="43"/>
  <c r="AG124" i="43"/>
  <c r="D125" i="43"/>
  <c r="O125" i="43"/>
  <c r="P125" i="43"/>
  <c r="Q125" i="43"/>
  <c r="U125" i="43"/>
  <c r="V125" i="43"/>
  <c r="W125" i="43"/>
  <c r="X125" i="43"/>
  <c r="Y125" i="43"/>
  <c r="Z125" i="43"/>
  <c r="AA125" i="43"/>
  <c r="AB125" i="43"/>
  <c r="AC125" i="43"/>
  <c r="AD125" i="43"/>
  <c r="AE125" i="43"/>
  <c r="AF125" i="43"/>
  <c r="AG125" i="43"/>
  <c r="D126" i="43"/>
  <c r="O126" i="43"/>
  <c r="P126" i="43"/>
  <c r="Q126" i="43"/>
  <c r="U126" i="43"/>
  <c r="V126" i="43"/>
  <c r="W126" i="43"/>
  <c r="X126" i="43"/>
  <c r="Y126" i="43"/>
  <c r="Z126" i="43"/>
  <c r="AA126" i="43"/>
  <c r="AB126" i="43"/>
  <c r="AC126" i="43"/>
  <c r="AD126" i="43"/>
  <c r="AE126" i="43"/>
  <c r="AF126" i="43"/>
  <c r="AG126" i="43"/>
  <c r="D127" i="43"/>
  <c r="O127" i="43"/>
  <c r="P127" i="43"/>
  <c r="Q127" i="43"/>
  <c r="U127" i="43"/>
  <c r="V127" i="43"/>
  <c r="W127" i="43"/>
  <c r="X127" i="43"/>
  <c r="Y127" i="43"/>
  <c r="Z127" i="43"/>
  <c r="AA127" i="43"/>
  <c r="AB127" i="43"/>
  <c r="AC127" i="43"/>
  <c r="AD127" i="43"/>
  <c r="AE127" i="43"/>
  <c r="AF127" i="43"/>
  <c r="AG127" i="43"/>
  <c r="D128" i="43"/>
  <c r="O128" i="43"/>
  <c r="P128" i="43"/>
  <c r="Q128" i="43"/>
  <c r="U128" i="43"/>
  <c r="V128" i="43"/>
  <c r="W128" i="43"/>
  <c r="X128" i="43"/>
  <c r="Y128" i="43"/>
  <c r="Z128" i="43"/>
  <c r="AA128" i="43"/>
  <c r="AB128" i="43"/>
  <c r="AC128" i="43"/>
  <c r="AD128" i="43"/>
  <c r="AE128" i="43"/>
  <c r="AF128" i="43"/>
  <c r="AG128" i="43"/>
  <c r="D129" i="43"/>
  <c r="O129" i="43"/>
  <c r="P129" i="43"/>
  <c r="Q129" i="43"/>
  <c r="U129" i="43"/>
  <c r="V129" i="43"/>
  <c r="W129" i="43"/>
  <c r="X129" i="43"/>
  <c r="Y129" i="43"/>
  <c r="Z129" i="43"/>
  <c r="AA129" i="43"/>
  <c r="AB129" i="43"/>
  <c r="AC129" i="43"/>
  <c r="AD129" i="43"/>
  <c r="AE129" i="43"/>
  <c r="AF129" i="43"/>
  <c r="AG129" i="43"/>
  <c r="D130" i="43"/>
  <c r="O130" i="43"/>
  <c r="P130" i="43"/>
  <c r="Q130" i="43"/>
  <c r="U130" i="43"/>
  <c r="V130" i="43"/>
  <c r="W130" i="43"/>
  <c r="X130" i="43"/>
  <c r="Y130" i="43"/>
  <c r="Z130" i="43"/>
  <c r="AA130" i="43"/>
  <c r="AB130" i="43"/>
  <c r="AC130" i="43"/>
  <c r="AD130" i="43"/>
  <c r="AE130" i="43"/>
  <c r="AF130" i="43"/>
  <c r="AG130" i="43"/>
  <c r="D131" i="43"/>
  <c r="O131" i="43"/>
  <c r="P131" i="43"/>
  <c r="Q131" i="43"/>
  <c r="U131" i="43"/>
  <c r="V131" i="43"/>
  <c r="W131" i="43"/>
  <c r="X131" i="43"/>
  <c r="Y131" i="43"/>
  <c r="Z131" i="43"/>
  <c r="AA131" i="43"/>
  <c r="AB131" i="43"/>
  <c r="AC131" i="43"/>
  <c r="AD131" i="43"/>
  <c r="AE131" i="43"/>
  <c r="AF131" i="43"/>
  <c r="AG131" i="43"/>
  <c r="D132" i="43"/>
  <c r="O132" i="43"/>
  <c r="P132" i="43"/>
  <c r="Q132" i="43"/>
  <c r="U132" i="43"/>
  <c r="V132" i="43"/>
  <c r="W132" i="43"/>
  <c r="X132" i="43"/>
  <c r="Y132" i="43"/>
  <c r="Z132" i="43"/>
  <c r="AA132" i="43"/>
  <c r="AB132" i="43"/>
  <c r="AC132" i="43"/>
  <c r="AD132" i="43"/>
  <c r="AE132" i="43"/>
  <c r="AF132" i="43"/>
  <c r="AG132" i="43"/>
  <c r="D133" i="43"/>
  <c r="O133" i="43"/>
  <c r="P133" i="43"/>
  <c r="Q133" i="43"/>
  <c r="U133" i="43"/>
  <c r="V133" i="43"/>
  <c r="W133" i="43"/>
  <c r="X133" i="43"/>
  <c r="Y133" i="43"/>
  <c r="Z133" i="43"/>
  <c r="AA133" i="43"/>
  <c r="AB133" i="43"/>
  <c r="AC133" i="43"/>
  <c r="AD133" i="43"/>
  <c r="AE133" i="43"/>
  <c r="AF133" i="43"/>
  <c r="AG133" i="43"/>
  <c r="D134" i="43"/>
  <c r="O134" i="43"/>
  <c r="P134" i="43"/>
  <c r="Q134" i="43"/>
  <c r="U134" i="43"/>
  <c r="V134" i="43"/>
  <c r="W134" i="43"/>
  <c r="X134" i="43"/>
  <c r="Y134" i="43"/>
  <c r="Z134" i="43"/>
  <c r="AA134" i="43"/>
  <c r="AB134" i="43"/>
  <c r="AC134" i="43"/>
  <c r="AD134" i="43"/>
  <c r="AE134" i="43"/>
  <c r="AF134" i="43"/>
  <c r="AG134" i="43"/>
  <c r="D135" i="43"/>
  <c r="O135" i="43"/>
  <c r="P135" i="43"/>
  <c r="Q135" i="43"/>
  <c r="U135" i="43"/>
  <c r="V135" i="43"/>
  <c r="W135" i="43"/>
  <c r="X135" i="43"/>
  <c r="Y135" i="43"/>
  <c r="Z135" i="43"/>
  <c r="AA135" i="43"/>
  <c r="AB135" i="43"/>
  <c r="AC135" i="43"/>
  <c r="AD135" i="43"/>
  <c r="AE135" i="43"/>
  <c r="AF135" i="43"/>
  <c r="AG135" i="43"/>
  <c r="D136" i="43"/>
  <c r="O136" i="43"/>
  <c r="P136" i="43"/>
  <c r="Q136" i="43"/>
  <c r="U136" i="43"/>
  <c r="V136" i="43"/>
  <c r="W136" i="43"/>
  <c r="X136" i="43"/>
  <c r="Y136" i="43"/>
  <c r="Z136" i="43"/>
  <c r="AA136" i="43"/>
  <c r="AB136" i="43"/>
  <c r="AC136" i="43"/>
  <c r="AD136" i="43"/>
  <c r="AE136" i="43"/>
  <c r="AF136" i="43"/>
  <c r="AG136" i="43"/>
  <c r="D137" i="43"/>
  <c r="O137" i="43"/>
  <c r="P137" i="43"/>
  <c r="Q137" i="43"/>
  <c r="U137" i="43"/>
  <c r="V137" i="43"/>
  <c r="W137" i="43"/>
  <c r="X137" i="43"/>
  <c r="Y137" i="43"/>
  <c r="Z137" i="43"/>
  <c r="AA137" i="43"/>
  <c r="AB137" i="43"/>
  <c r="AC137" i="43"/>
  <c r="AD137" i="43"/>
  <c r="AE137" i="43"/>
  <c r="AF137" i="43"/>
  <c r="AG137" i="43"/>
  <c r="D138" i="43"/>
  <c r="O138" i="43"/>
  <c r="P138" i="43"/>
  <c r="Q138" i="43"/>
  <c r="U138" i="43"/>
  <c r="V138" i="43"/>
  <c r="W138" i="43"/>
  <c r="X138" i="43"/>
  <c r="Y138" i="43"/>
  <c r="Z138" i="43"/>
  <c r="AA138" i="43"/>
  <c r="AB138" i="43"/>
  <c r="AC138" i="43"/>
  <c r="AD138" i="43"/>
  <c r="AE138" i="43"/>
  <c r="AF138" i="43"/>
  <c r="AG138" i="43"/>
  <c r="D17" i="44"/>
  <c r="I17" i="44"/>
  <c r="M17" i="44"/>
  <c r="N17" i="44"/>
  <c r="O17" i="44"/>
  <c r="P17" i="44"/>
  <c r="Q17" i="44"/>
  <c r="M78" i="44"/>
  <c r="I78" i="44"/>
  <c r="N78" i="44"/>
  <c r="S78" i="44"/>
  <c r="M77" i="44"/>
  <c r="I77" i="44"/>
  <c r="N77" i="44"/>
  <c r="S77" i="44"/>
  <c r="M76" i="44"/>
  <c r="I76" i="44"/>
  <c r="N76" i="44"/>
  <c r="S76" i="44"/>
  <c r="M75" i="44"/>
  <c r="I75" i="44"/>
  <c r="N75" i="44"/>
  <c r="S75" i="44"/>
  <c r="M74" i="44"/>
  <c r="I74" i="44"/>
  <c r="N74" i="44"/>
  <c r="S74" i="44"/>
  <c r="M73" i="44"/>
  <c r="I73" i="44"/>
  <c r="N73" i="44"/>
  <c r="S73" i="44"/>
  <c r="M72" i="44"/>
  <c r="I72" i="44"/>
  <c r="N72" i="44"/>
  <c r="S72" i="44"/>
  <c r="M71" i="44"/>
  <c r="I71" i="44"/>
  <c r="N71" i="44"/>
  <c r="S71" i="44"/>
  <c r="M70" i="44"/>
  <c r="I70" i="44"/>
  <c r="N70" i="44"/>
  <c r="S70" i="44"/>
  <c r="M69" i="44"/>
  <c r="I69" i="44"/>
  <c r="N69" i="44"/>
  <c r="S69" i="44"/>
  <c r="M68" i="44"/>
  <c r="I68" i="44"/>
  <c r="N68" i="44"/>
  <c r="S68" i="44"/>
  <c r="M67" i="44"/>
  <c r="I67" i="44"/>
  <c r="N67" i="44"/>
  <c r="S67" i="44"/>
  <c r="M66" i="44"/>
  <c r="I66" i="44"/>
  <c r="N66" i="44"/>
  <c r="S66" i="44"/>
  <c r="M65" i="44"/>
  <c r="I65" i="44"/>
  <c r="N65" i="44"/>
  <c r="S65" i="44"/>
  <c r="M64" i="44"/>
  <c r="I64" i="44"/>
  <c r="N64" i="44"/>
  <c r="S64" i="44"/>
  <c r="M63" i="44"/>
  <c r="I63" i="44"/>
  <c r="N63" i="44"/>
  <c r="S63" i="44"/>
  <c r="M62" i="44"/>
  <c r="I62" i="44"/>
  <c r="N62" i="44"/>
  <c r="S62" i="44"/>
  <c r="M61" i="44"/>
  <c r="I61" i="44"/>
  <c r="N61" i="44"/>
  <c r="S61" i="44"/>
  <c r="M60" i="44"/>
  <c r="I60" i="44"/>
  <c r="N60" i="44"/>
  <c r="S60" i="44"/>
  <c r="M59" i="44"/>
  <c r="I59" i="44"/>
  <c r="N59" i="44"/>
  <c r="S59" i="44"/>
  <c r="M58" i="44"/>
  <c r="I58" i="44"/>
  <c r="N58" i="44"/>
  <c r="S58" i="44"/>
  <c r="M57" i="44"/>
  <c r="I57" i="44"/>
  <c r="N57" i="44"/>
  <c r="S57" i="44"/>
  <c r="M56" i="44"/>
  <c r="I56" i="44"/>
  <c r="N56" i="44"/>
  <c r="S56" i="44"/>
  <c r="M55" i="44"/>
  <c r="I55" i="44"/>
  <c r="N55" i="44"/>
  <c r="S55" i="44"/>
  <c r="M54" i="44"/>
  <c r="I54" i="44"/>
  <c r="N54" i="44"/>
  <c r="S54" i="44"/>
  <c r="M53" i="44"/>
  <c r="I53" i="44"/>
  <c r="N53" i="44"/>
  <c r="S53" i="44"/>
  <c r="M52" i="44"/>
  <c r="I52" i="44"/>
  <c r="N52" i="44"/>
  <c r="S52" i="44"/>
  <c r="M51" i="44"/>
  <c r="I51" i="44"/>
  <c r="N51" i="44"/>
  <c r="S51" i="44"/>
  <c r="M50" i="44"/>
  <c r="I50" i="44"/>
  <c r="N50" i="44"/>
  <c r="S50" i="44"/>
  <c r="M49" i="44"/>
  <c r="I49" i="44"/>
  <c r="N49" i="44"/>
  <c r="S49" i="44"/>
  <c r="M48" i="44"/>
  <c r="I48" i="44"/>
  <c r="N48" i="44"/>
  <c r="S48" i="44"/>
  <c r="M47" i="44"/>
  <c r="I47" i="44"/>
  <c r="N47" i="44"/>
  <c r="S47" i="44"/>
  <c r="M46" i="44"/>
  <c r="I46" i="44"/>
  <c r="N46" i="44"/>
  <c r="S46" i="44"/>
  <c r="M45" i="44"/>
  <c r="I45" i="44"/>
  <c r="N45" i="44"/>
  <c r="S45" i="44"/>
  <c r="M44" i="44"/>
  <c r="I44" i="44"/>
  <c r="N44" i="44"/>
  <c r="S44" i="44"/>
  <c r="M43" i="44"/>
  <c r="I43" i="44"/>
  <c r="N43" i="44"/>
  <c r="S43" i="44"/>
  <c r="M42" i="44"/>
  <c r="I42" i="44"/>
  <c r="N42" i="44"/>
  <c r="S42" i="44"/>
  <c r="M41" i="44"/>
  <c r="I41" i="44"/>
  <c r="N41" i="44"/>
  <c r="S41" i="44"/>
  <c r="M40" i="44"/>
  <c r="I40" i="44"/>
  <c r="N40" i="44"/>
  <c r="S40" i="44"/>
  <c r="M39" i="44"/>
  <c r="I39" i="44"/>
  <c r="N39" i="44"/>
  <c r="S39" i="44"/>
  <c r="M38" i="44"/>
  <c r="I38" i="44"/>
  <c r="N38" i="44"/>
  <c r="S38" i="44"/>
  <c r="M37" i="44"/>
  <c r="I37" i="44"/>
  <c r="N37" i="44"/>
  <c r="S37" i="44"/>
  <c r="M36" i="44"/>
  <c r="I36" i="44"/>
  <c r="N36" i="44"/>
  <c r="S36" i="44"/>
  <c r="M35" i="44"/>
  <c r="I35" i="44"/>
  <c r="N35" i="44"/>
  <c r="S35" i="44"/>
  <c r="M34" i="44"/>
  <c r="I34" i="44"/>
  <c r="N34" i="44"/>
  <c r="S34" i="44"/>
  <c r="M33" i="44"/>
  <c r="I33" i="44"/>
  <c r="N33" i="44"/>
  <c r="S33" i="44"/>
  <c r="M32" i="44"/>
  <c r="I32" i="44"/>
  <c r="N32" i="44"/>
  <c r="S32" i="44"/>
  <c r="M31" i="44"/>
  <c r="I31" i="44"/>
  <c r="N31" i="44"/>
  <c r="S31" i="44"/>
  <c r="M30" i="44"/>
  <c r="I30" i="44"/>
  <c r="N30" i="44"/>
  <c r="S30" i="44"/>
  <c r="M29" i="44"/>
  <c r="I29" i="44"/>
  <c r="N29" i="44"/>
  <c r="S29" i="44"/>
  <c r="M28" i="44"/>
  <c r="I28" i="44"/>
  <c r="N28" i="44"/>
  <c r="S28" i="44"/>
  <c r="M27" i="44"/>
  <c r="I27" i="44"/>
  <c r="N27" i="44"/>
  <c r="S27" i="44"/>
  <c r="M26" i="44"/>
  <c r="I26" i="44"/>
  <c r="N26" i="44"/>
  <c r="S26" i="44"/>
  <c r="M25" i="44"/>
  <c r="I25" i="44"/>
  <c r="N25" i="44"/>
  <c r="S25" i="44"/>
  <c r="M24" i="44"/>
  <c r="I24" i="44"/>
  <c r="N24" i="44"/>
  <c r="S24" i="44"/>
  <c r="M23" i="44"/>
  <c r="I23" i="44"/>
  <c r="N23" i="44"/>
  <c r="S23" i="44"/>
  <c r="M22" i="44"/>
  <c r="I22" i="44"/>
  <c r="N22" i="44"/>
  <c r="S22" i="44"/>
  <c r="M21" i="44"/>
  <c r="I21" i="44"/>
  <c r="N21" i="44"/>
  <c r="S21" i="44"/>
  <c r="M20" i="44"/>
  <c r="I20" i="44"/>
  <c r="N20" i="44"/>
  <c r="S20" i="44"/>
  <c r="M19" i="44"/>
  <c r="I19" i="44"/>
  <c r="N19" i="44"/>
  <c r="S19" i="44"/>
  <c r="M18" i="44"/>
  <c r="I18" i="44"/>
  <c r="N18" i="44"/>
  <c r="S18" i="44"/>
  <c r="R78" i="44"/>
  <c r="R77" i="44"/>
  <c r="R76" i="44"/>
  <c r="R75" i="44"/>
  <c r="R74" i="44"/>
  <c r="R73" i="44"/>
  <c r="R72" i="44"/>
  <c r="R71" i="44"/>
  <c r="R70" i="44"/>
  <c r="R69" i="44"/>
  <c r="R68" i="44"/>
  <c r="R67" i="44"/>
  <c r="R66" i="44"/>
  <c r="R65" i="44"/>
  <c r="R64" i="44"/>
  <c r="R63" i="44"/>
  <c r="R62" i="44"/>
  <c r="R61" i="44"/>
  <c r="R60" i="44"/>
  <c r="R59" i="44"/>
  <c r="R58" i="44"/>
  <c r="R57" i="44"/>
  <c r="R56" i="44"/>
  <c r="R55" i="44"/>
  <c r="R54" i="44"/>
  <c r="R53" i="44"/>
  <c r="R52" i="44"/>
  <c r="R51" i="44"/>
  <c r="R50" i="44"/>
  <c r="R49" i="44"/>
  <c r="R48" i="44"/>
  <c r="R47" i="44"/>
  <c r="R46" i="44"/>
  <c r="R45" i="44"/>
  <c r="R44" i="44"/>
  <c r="R43" i="44"/>
  <c r="R42" i="44"/>
  <c r="R41" i="44"/>
  <c r="R40" i="44"/>
  <c r="R39" i="44"/>
  <c r="R38" i="44"/>
  <c r="R37" i="44"/>
  <c r="R36" i="44"/>
  <c r="R35" i="44"/>
  <c r="R34" i="44"/>
  <c r="R33" i="44"/>
  <c r="R32" i="44"/>
  <c r="R31" i="44"/>
  <c r="R30" i="44"/>
  <c r="R29" i="44"/>
  <c r="R28" i="44"/>
  <c r="R27" i="44"/>
  <c r="R26" i="44"/>
  <c r="R25" i="44"/>
  <c r="R24" i="44"/>
  <c r="R23" i="44"/>
  <c r="R22" i="44"/>
  <c r="R21" i="44"/>
  <c r="R20" i="44"/>
  <c r="R19" i="44"/>
  <c r="R18" i="44"/>
  <c r="R17" i="44"/>
  <c r="S17" i="44"/>
  <c r="T78" i="44"/>
  <c r="T77" i="44"/>
  <c r="T76" i="44"/>
  <c r="T75" i="44"/>
  <c r="T74" i="44"/>
  <c r="T73" i="44"/>
  <c r="T72" i="44"/>
  <c r="T71" i="44"/>
  <c r="T70" i="44"/>
  <c r="T69" i="44"/>
  <c r="T68" i="44"/>
  <c r="T67" i="44"/>
  <c r="T66" i="44"/>
  <c r="T65" i="44"/>
  <c r="T64" i="44"/>
  <c r="T63" i="44"/>
  <c r="T62" i="44"/>
  <c r="T61" i="44"/>
  <c r="T60" i="44"/>
  <c r="T59" i="44"/>
  <c r="T58" i="44"/>
  <c r="T57" i="44"/>
  <c r="T56" i="44"/>
  <c r="T55" i="44"/>
  <c r="T54" i="44"/>
  <c r="T53" i="44"/>
  <c r="T52" i="44"/>
  <c r="T51" i="44"/>
  <c r="T50" i="44"/>
  <c r="T49" i="44"/>
  <c r="T48" i="44"/>
  <c r="T47" i="44"/>
  <c r="T46" i="44"/>
  <c r="T45" i="44"/>
  <c r="T44" i="44"/>
  <c r="T43" i="44"/>
  <c r="T42" i="44"/>
  <c r="T41" i="44"/>
  <c r="T40" i="44"/>
  <c r="T39" i="44"/>
  <c r="T38" i="44"/>
  <c r="T37" i="44"/>
  <c r="T36" i="44"/>
  <c r="T35" i="44"/>
  <c r="T34" i="44"/>
  <c r="T33" i="44"/>
  <c r="T32" i="44"/>
  <c r="T31" i="44"/>
  <c r="T30" i="44"/>
  <c r="T29" i="44"/>
  <c r="T28" i="44"/>
  <c r="T27" i="44"/>
  <c r="T26" i="44"/>
  <c r="T25" i="44"/>
  <c r="T24" i="44"/>
  <c r="T23" i="44"/>
  <c r="T22" i="44"/>
  <c r="T21" i="44"/>
  <c r="T20" i="44"/>
  <c r="T19" i="44"/>
  <c r="T18" i="44"/>
  <c r="T17" i="44"/>
  <c r="U17" i="44"/>
  <c r="V17" i="44"/>
  <c r="W17" i="44"/>
  <c r="X17" i="44"/>
  <c r="Y17" i="44"/>
  <c r="Z17" i="44"/>
  <c r="AA17" i="44"/>
  <c r="AB17" i="44"/>
  <c r="AC17" i="44"/>
  <c r="AD17" i="44"/>
  <c r="AE17" i="44"/>
  <c r="AF17" i="44"/>
  <c r="AG17" i="44"/>
  <c r="D18" i="44"/>
  <c r="O18" i="44"/>
  <c r="P18" i="44"/>
  <c r="Q18" i="44"/>
  <c r="U18" i="44"/>
  <c r="V18" i="44"/>
  <c r="W18" i="44"/>
  <c r="X18" i="44"/>
  <c r="Y18" i="44"/>
  <c r="Z18" i="44"/>
  <c r="AA18" i="44"/>
  <c r="AB18" i="44"/>
  <c r="AC18" i="44"/>
  <c r="AD18" i="44"/>
  <c r="AE18" i="44"/>
  <c r="AF18" i="44"/>
  <c r="AG18" i="44"/>
  <c r="D19" i="44"/>
  <c r="O19" i="44"/>
  <c r="P19" i="44"/>
  <c r="Q19" i="44"/>
  <c r="U19" i="44"/>
  <c r="V19" i="44"/>
  <c r="W19" i="44"/>
  <c r="X19" i="44"/>
  <c r="Y19" i="44"/>
  <c r="Z19" i="44"/>
  <c r="AA19" i="44"/>
  <c r="AB19" i="44"/>
  <c r="AC19" i="44"/>
  <c r="AD19" i="44"/>
  <c r="AE19" i="44"/>
  <c r="AF19" i="44"/>
  <c r="AG19" i="44"/>
  <c r="D20" i="44"/>
  <c r="O20" i="44"/>
  <c r="P20" i="44"/>
  <c r="Q20" i="44"/>
  <c r="U20" i="44"/>
  <c r="V20" i="44"/>
  <c r="W20" i="44"/>
  <c r="X20" i="44"/>
  <c r="Y20" i="44"/>
  <c r="Z20" i="44"/>
  <c r="AA20" i="44"/>
  <c r="AB20" i="44"/>
  <c r="AC20" i="44"/>
  <c r="AD20" i="44"/>
  <c r="AE20" i="44"/>
  <c r="AF20" i="44"/>
  <c r="AG20" i="44"/>
  <c r="D21" i="44"/>
  <c r="O21" i="44"/>
  <c r="P21" i="44"/>
  <c r="Q21" i="44"/>
  <c r="U21" i="44"/>
  <c r="V21" i="44"/>
  <c r="W21" i="44"/>
  <c r="X21" i="44"/>
  <c r="Y21" i="44"/>
  <c r="Z21" i="44"/>
  <c r="AA21" i="44"/>
  <c r="AB21" i="44"/>
  <c r="AC21" i="44"/>
  <c r="AD21" i="44"/>
  <c r="AE21" i="44"/>
  <c r="AF21" i="44"/>
  <c r="AG21" i="44"/>
  <c r="D22" i="44"/>
  <c r="O22" i="44"/>
  <c r="P22" i="44"/>
  <c r="Q22" i="44"/>
  <c r="U22" i="44"/>
  <c r="V22" i="44"/>
  <c r="W22" i="44"/>
  <c r="X22" i="44"/>
  <c r="Y22" i="44"/>
  <c r="Z22" i="44"/>
  <c r="AA22" i="44"/>
  <c r="AB22" i="44"/>
  <c r="AC22" i="44"/>
  <c r="AD22" i="44"/>
  <c r="AE22" i="44"/>
  <c r="AF22" i="44"/>
  <c r="AG22" i="44"/>
  <c r="D23" i="44"/>
  <c r="O23" i="44"/>
  <c r="P23" i="44"/>
  <c r="Q23" i="44"/>
  <c r="U23" i="44"/>
  <c r="V23" i="44"/>
  <c r="W23" i="44"/>
  <c r="X23" i="44"/>
  <c r="Y23" i="44"/>
  <c r="Z23" i="44"/>
  <c r="AA23" i="44"/>
  <c r="AB23" i="44"/>
  <c r="AC23" i="44"/>
  <c r="AD23" i="44"/>
  <c r="AE23" i="44"/>
  <c r="AF23" i="44"/>
  <c r="AG23" i="44"/>
  <c r="D24" i="44"/>
  <c r="O24" i="44"/>
  <c r="P24" i="44"/>
  <c r="Q24" i="44"/>
  <c r="U24" i="44"/>
  <c r="V24" i="44"/>
  <c r="W24" i="44"/>
  <c r="X24" i="44"/>
  <c r="Y24" i="44"/>
  <c r="Z24" i="44"/>
  <c r="AA24" i="44"/>
  <c r="AB24" i="44"/>
  <c r="AC24" i="44"/>
  <c r="AD24" i="44"/>
  <c r="AE24" i="44"/>
  <c r="AF24" i="44"/>
  <c r="AG24" i="44"/>
  <c r="D25" i="44"/>
  <c r="O25" i="44"/>
  <c r="P25" i="44"/>
  <c r="Q25" i="44"/>
  <c r="U25" i="44"/>
  <c r="V25" i="44"/>
  <c r="W25" i="44"/>
  <c r="X25" i="44"/>
  <c r="Y25" i="44"/>
  <c r="Z25" i="44"/>
  <c r="AA25" i="44"/>
  <c r="AB25" i="44"/>
  <c r="AC25" i="44"/>
  <c r="AD25" i="44"/>
  <c r="AE25" i="44"/>
  <c r="AF25" i="44"/>
  <c r="AG25" i="44"/>
  <c r="D26" i="44"/>
  <c r="O26" i="44"/>
  <c r="P26" i="44"/>
  <c r="Q26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D27" i="44"/>
  <c r="O27" i="44"/>
  <c r="P27" i="44"/>
  <c r="Q27" i="44"/>
  <c r="U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D28" i="44"/>
  <c r="O28" i="44"/>
  <c r="P28" i="44"/>
  <c r="Q28" i="44"/>
  <c r="U28" i="44"/>
  <c r="V28" i="44"/>
  <c r="W28" i="44"/>
  <c r="X28" i="44"/>
  <c r="Y28" i="44"/>
  <c r="Z28" i="44"/>
  <c r="AA28" i="44"/>
  <c r="AB28" i="44"/>
  <c r="AC28" i="44"/>
  <c r="AD28" i="44"/>
  <c r="AE28" i="44"/>
  <c r="AF28" i="44"/>
  <c r="AG28" i="44"/>
  <c r="D29" i="44"/>
  <c r="O29" i="44"/>
  <c r="P29" i="44"/>
  <c r="Q29" i="44"/>
  <c r="U29" i="44"/>
  <c r="V29" i="44"/>
  <c r="W29" i="44"/>
  <c r="X29" i="44"/>
  <c r="Y29" i="44"/>
  <c r="Z29" i="44"/>
  <c r="AA29" i="44"/>
  <c r="AB29" i="44"/>
  <c r="AC29" i="44"/>
  <c r="AD29" i="44"/>
  <c r="AE29" i="44"/>
  <c r="AF29" i="44"/>
  <c r="AG29" i="44"/>
  <c r="D30" i="44"/>
  <c r="O30" i="44"/>
  <c r="P30" i="44"/>
  <c r="Q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D31" i="44"/>
  <c r="O31" i="44"/>
  <c r="P31" i="44"/>
  <c r="Q31" i="44"/>
  <c r="U31" i="44"/>
  <c r="V31" i="44"/>
  <c r="W31" i="44"/>
  <c r="X31" i="44"/>
  <c r="Y31" i="44"/>
  <c r="Z31" i="44"/>
  <c r="AA31" i="44"/>
  <c r="AB31" i="44"/>
  <c r="AC31" i="44"/>
  <c r="AD31" i="44"/>
  <c r="AE31" i="44"/>
  <c r="AF31" i="44"/>
  <c r="AG31" i="44"/>
  <c r="D32" i="44"/>
  <c r="O32" i="44"/>
  <c r="P32" i="44"/>
  <c r="Q32" i="44"/>
  <c r="U32" i="44"/>
  <c r="V32" i="44"/>
  <c r="W32" i="44"/>
  <c r="X32" i="44"/>
  <c r="Y32" i="44"/>
  <c r="Z32" i="44"/>
  <c r="AA32" i="44"/>
  <c r="AB32" i="44"/>
  <c r="AC32" i="44"/>
  <c r="AD32" i="44"/>
  <c r="AE32" i="44"/>
  <c r="AF32" i="44"/>
  <c r="AG32" i="44"/>
  <c r="D33" i="44"/>
  <c r="O33" i="44"/>
  <c r="P33" i="44"/>
  <c r="Q33" i="44"/>
  <c r="U33" i="44"/>
  <c r="V33" i="44"/>
  <c r="W33" i="44"/>
  <c r="X33" i="44"/>
  <c r="Y33" i="44"/>
  <c r="Z33" i="44"/>
  <c r="AA33" i="44"/>
  <c r="AB33" i="44"/>
  <c r="AC33" i="44"/>
  <c r="AD33" i="44"/>
  <c r="AE33" i="44"/>
  <c r="AF33" i="44"/>
  <c r="AG33" i="44"/>
  <c r="D34" i="44"/>
  <c r="O34" i="44"/>
  <c r="P34" i="44"/>
  <c r="Q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D35" i="44"/>
  <c r="O35" i="44"/>
  <c r="P35" i="44"/>
  <c r="Q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D36" i="44"/>
  <c r="O36" i="44"/>
  <c r="P36" i="44"/>
  <c r="Q36" i="44"/>
  <c r="U36" i="44"/>
  <c r="V36" i="44"/>
  <c r="W36" i="44"/>
  <c r="X36" i="44"/>
  <c r="Y36" i="44"/>
  <c r="Z36" i="44"/>
  <c r="AA36" i="44"/>
  <c r="AB36" i="44"/>
  <c r="AC36" i="44"/>
  <c r="AD36" i="44"/>
  <c r="AE36" i="44"/>
  <c r="AF36" i="44"/>
  <c r="AG36" i="44"/>
  <c r="D37" i="44"/>
  <c r="O37" i="44"/>
  <c r="P37" i="44"/>
  <c r="Q37" i="44"/>
  <c r="U37" i="44"/>
  <c r="V37" i="44"/>
  <c r="W37" i="44"/>
  <c r="X37" i="44"/>
  <c r="Y37" i="44"/>
  <c r="Z37" i="44"/>
  <c r="AA37" i="44"/>
  <c r="AB37" i="44"/>
  <c r="AC37" i="44"/>
  <c r="AD37" i="44"/>
  <c r="AE37" i="44"/>
  <c r="AF37" i="44"/>
  <c r="AG37" i="44"/>
  <c r="D38" i="44"/>
  <c r="O38" i="44"/>
  <c r="P38" i="44"/>
  <c r="Q38" i="44"/>
  <c r="U38" i="44"/>
  <c r="V38" i="44"/>
  <c r="W38" i="44"/>
  <c r="X38" i="44"/>
  <c r="Y38" i="44"/>
  <c r="Z38" i="44"/>
  <c r="AA38" i="44"/>
  <c r="AB38" i="44"/>
  <c r="AC38" i="44"/>
  <c r="AD38" i="44"/>
  <c r="AE38" i="44"/>
  <c r="AF38" i="44"/>
  <c r="AG38" i="44"/>
  <c r="D39" i="44"/>
  <c r="O39" i="44"/>
  <c r="P39" i="44"/>
  <c r="Q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D40" i="44"/>
  <c r="O40" i="44"/>
  <c r="P40" i="44"/>
  <c r="Q40" i="44"/>
  <c r="U40" i="44"/>
  <c r="V40" i="44"/>
  <c r="W40" i="44"/>
  <c r="X40" i="44"/>
  <c r="Y40" i="44"/>
  <c r="Z40" i="44"/>
  <c r="AA40" i="44"/>
  <c r="AB40" i="44"/>
  <c r="AC40" i="44"/>
  <c r="AD40" i="44"/>
  <c r="AE40" i="44"/>
  <c r="AF40" i="44"/>
  <c r="AG40" i="44"/>
  <c r="D41" i="44"/>
  <c r="O41" i="44"/>
  <c r="P41" i="44"/>
  <c r="Q41" i="44"/>
  <c r="U41" i="44"/>
  <c r="V41" i="44"/>
  <c r="W41" i="44"/>
  <c r="X41" i="44"/>
  <c r="Y41" i="44"/>
  <c r="Z41" i="44"/>
  <c r="AA41" i="44"/>
  <c r="AB41" i="44"/>
  <c r="AC41" i="44"/>
  <c r="AD41" i="44"/>
  <c r="AE41" i="44"/>
  <c r="AF41" i="44"/>
  <c r="AG41" i="44"/>
  <c r="D42" i="44"/>
  <c r="O42" i="44"/>
  <c r="P42" i="44"/>
  <c r="Q42" i="44"/>
  <c r="U42" i="44"/>
  <c r="V42" i="44"/>
  <c r="W42" i="44"/>
  <c r="X42" i="44"/>
  <c r="Y42" i="44"/>
  <c r="Z42" i="44"/>
  <c r="AA42" i="44"/>
  <c r="AB42" i="44"/>
  <c r="AC42" i="44"/>
  <c r="AD42" i="44"/>
  <c r="AE42" i="44"/>
  <c r="AF42" i="44"/>
  <c r="AG42" i="44"/>
  <c r="D43" i="44"/>
  <c r="O43" i="44"/>
  <c r="P43" i="44"/>
  <c r="Q43" i="44"/>
  <c r="U43" i="44"/>
  <c r="V43" i="44"/>
  <c r="W43" i="44"/>
  <c r="X43" i="44"/>
  <c r="Y43" i="44"/>
  <c r="Z43" i="44"/>
  <c r="AA43" i="44"/>
  <c r="AB43" i="44"/>
  <c r="AC43" i="44"/>
  <c r="AD43" i="44"/>
  <c r="AE43" i="44"/>
  <c r="AF43" i="44"/>
  <c r="AG43" i="44"/>
  <c r="D44" i="44"/>
  <c r="O44" i="44"/>
  <c r="P44" i="44"/>
  <c r="Q44" i="44"/>
  <c r="U44" i="44"/>
  <c r="V44" i="44"/>
  <c r="W44" i="44"/>
  <c r="X44" i="44"/>
  <c r="Y44" i="44"/>
  <c r="Z44" i="44"/>
  <c r="AA44" i="44"/>
  <c r="AB44" i="44"/>
  <c r="AC44" i="44"/>
  <c r="AD44" i="44"/>
  <c r="AE44" i="44"/>
  <c r="AF44" i="44"/>
  <c r="AG44" i="44"/>
  <c r="D45" i="44"/>
  <c r="O45" i="44"/>
  <c r="P45" i="44"/>
  <c r="Q45" i="44"/>
  <c r="U45" i="44"/>
  <c r="V45" i="44"/>
  <c r="W45" i="44"/>
  <c r="X45" i="44"/>
  <c r="Y45" i="44"/>
  <c r="Z45" i="44"/>
  <c r="AA45" i="44"/>
  <c r="AB45" i="44"/>
  <c r="AC45" i="44"/>
  <c r="AD45" i="44"/>
  <c r="AE45" i="44"/>
  <c r="AF45" i="44"/>
  <c r="AG45" i="44"/>
  <c r="D46" i="44"/>
  <c r="O46" i="44"/>
  <c r="P46" i="44"/>
  <c r="Q46" i="44"/>
  <c r="U46" i="44"/>
  <c r="V46" i="44"/>
  <c r="W46" i="44"/>
  <c r="X46" i="44"/>
  <c r="Y46" i="44"/>
  <c r="Z46" i="44"/>
  <c r="AA46" i="44"/>
  <c r="AB46" i="44"/>
  <c r="AC46" i="44"/>
  <c r="AD46" i="44"/>
  <c r="AE46" i="44"/>
  <c r="AF46" i="44"/>
  <c r="AG46" i="44"/>
  <c r="D47" i="44"/>
  <c r="O47" i="44"/>
  <c r="P47" i="44"/>
  <c r="Q47" i="44"/>
  <c r="U47" i="44"/>
  <c r="V47" i="44"/>
  <c r="W47" i="44"/>
  <c r="X47" i="44"/>
  <c r="Y47" i="44"/>
  <c r="Z47" i="44"/>
  <c r="AA47" i="44"/>
  <c r="AB47" i="44"/>
  <c r="AC47" i="44"/>
  <c r="AD47" i="44"/>
  <c r="AE47" i="44"/>
  <c r="AF47" i="44"/>
  <c r="AG47" i="44"/>
  <c r="D48" i="44"/>
  <c r="O48" i="44"/>
  <c r="P48" i="44"/>
  <c r="Q48" i="44"/>
  <c r="U48" i="44"/>
  <c r="V48" i="44"/>
  <c r="W48" i="44"/>
  <c r="X48" i="44"/>
  <c r="Y48" i="44"/>
  <c r="Z48" i="44"/>
  <c r="AA48" i="44"/>
  <c r="AB48" i="44"/>
  <c r="AC48" i="44"/>
  <c r="AD48" i="44"/>
  <c r="AE48" i="44"/>
  <c r="AF48" i="44"/>
  <c r="AG48" i="44"/>
  <c r="D49" i="44"/>
  <c r="O49" i="44"/>
  <c r="P49" i="44"/>
  <c r="Q49" i="44"/>
  <c r="U49" i="44"/>
  <c r="V49" i="44"/>
  <c r="W49" i="44"/>
  <c r="X49" i="44"/>
  <c r="Y49" i="44"/>
  <c r="Z49" i="44"/>
  <c r="AA49" i="44"/>
  <c r="AB49" i="44"/>
  <c r="AC49" i="44"/>
  <c r="AD49" i="44"/>
  <c r="AE49" i="44"/>
  <c r="AF49" i="44"/>
  <c r="AG49" i="44"/>
  <c r="D50" i="44"/>
  <c r="O50" i="44"/>
  <c r="P50" i="44"/>
  <c r="Q50" i="44"/>
  <c r="U50" i="44"/>
  <c r="V50" i="44"/>
  <c r="W50" i="44"/>
  <c r="X50" i="44"/>
  <c r="Y50" i="44"/>
  <c r="Z50" i="44"/>
  <c r="AA50" i="44"/>
  <c r="AB50" i="44"/>
  <c r="AC50" i="44"/>
  <c r="AD50" i="44"/>
  <c r="AE50" i="44"/>
  <c r="AF50" i="44"/>
  <c r="AG50" i="44"/>
  <c r="D51" i="44"/>
  <c r="O51" i="44"/>
  <c r="P51" i="44"/>
  <c r="Q51" i="44"/>
  <c r="U51" i="44"/>
  <c r="V51" i="44"/>
  <c r="W51" i="44"/>
  <c r="X51" i="44"/>
  <c r="Y51" i="44"/>
  <c r="Z51" i="44"/>
  <c r="AA51" i="44"/>
  <c r="AB51" i="44"/>
  <c r="AC51" i="44"/>
  <c r="AD51" i="44"/>
  <c r="AE51" i="44"/>
  <c r="AF51" i="44"/>
  <c r="AG51" i="44"/>
  <c r="D52" i="44"/>
  <c r="O52" i="44"/>
  <c r="P52" i="44"/>
  <c r="Q52" i="44"/>
  <c r="U52" i="44"/>
  <c r="V52" i="44"/>
  <c r="W52" i="44"/>
  <c r="X52" i="44"/>
  <c r="Y52" i="44"/>
  <c r="Z52" i="44"/>
  <c r="AA52" i="44"/>
  <c r="AB52" i="44"/>
  <c r="AC52" i="44"/>
  <c r="AD52" i="44"/>
  <c r="AE52" i="44"/>
  <c r="AF52" i="44"/>
  <c r="AG52" i="44"/>
  <c r="D53" i="44"/>
  <c r="O53" i="44"/>
  <c r="P53" i="44"/>
  <c r="Q53" i="44"/>
  <c r="U53" i="44"/>
  <c r="V53" i="44"/>
  <c r="W53" i="44"/>
  <c r="X53" i="44"/>
  <c r="Y53" i="44"/>
  <c r="Z53" i="44"/>
  <c r="AA53" i="44"/>
  <c r="AB53" i="44"/>
  <c r="AC53" i="44"/>
  <c r="AD53" i="44"/>
  <c r="AE53" i="44"/>
  <c r="AF53" i="44"/>
  <c r="AG53" i="44"/>
  <c r="D54" i="44"/>
  <c r="O54" i="44"/>
  <c r="P54" i="44"/>
  <c r="Q54" i="44"/>
  <c r="U54" i="44"/>
  <c r="V54" i="44"/>
  <c r="W54" i="44"/>
  <c r="X54" i="44"/>
  <c r="Y54" i="44"/>
  <c r="Z54" i="44"/>
  <c r="AA54" i="44"/>
  <c r="AB54" i="44"/>
  <c r="AC54" i="44"/>
  <c r="AD54" i="44"/>
  <c r="AE54" i="44"/>
  <c r="AF54" i="44"/>
  <c r="AG54" i="44"/>
  <c r="D55" i="44"/>
  <c r="O55" i="44"/>
  <c r="P55" i="44"/>
  <c r="Q55" i="44"/>
  <c r="U55" i="44"/>
  <c r="V55" i="44"/>
  <c r="W55" i="44"/>
  <c r="X55" i="44"/>
  <c r="Y55" i="44"/>
  <c r="Z55" i="44"/>
  <c r="AA55" i="44"/>
  <c r="AB55" i="44"/>
  <c r="AC55" i="44"/>
  <c r="AD55" i="44"/>
  <c r="AE55" i="44"/>
  <c r="AF55" i="44"/>
  <c r="AG55" i="44"/>
  <c r="D56" i="44"/>
  <c r="O56" i="44"/>
  <c r="P56" i="44"/>
  <c r="Q56" i="44"/>
  <c r="U56" i="44"/>
  <c r="V56" i="44"/>
  <c r="W56" i="44"/>
  <c r="X56" i="44"/>
  <c r="Y56" i="44"/>
  <c r="Z56" i="44"/>
  <c r="AA56" i="44"/>
  <c r="AB56" i="44"/>
  <c r="AC56" i="44"/>
  <c r="AD56" i="44"/>
  <c r="AE56" i="44"/>
  <c r="AF56" i="44"/>
  <c r="AG56" i="44"/>
  <c r="D57" i="44"/>
  <c r="O57" i="44"/>
  <c r="P57" i="44"/>
  <c r="Q57" i="44"/>
  <c r="U57" i="44"/>
  <c r="V57" i="44"/>
  <c r="W57" i="44"/>
  <c r="X57" i="44"/>
  <c r="Y57" i="44"/>
  <c r="Z57" i="44"/>
  <c r="AA57" i="44"/>
  <c r="AB57" i="44"/>
  <c r="AC57" i="44"/>
  <c r="AD57" i="44"/>
  <c r="AE57" i="44"/>
  <c r="AF57" i="44"/>
  <c r="AG57" i="44"/>
  <c r="D58" i="44"/>
  <c r="O58" i="44"/>
  <c r="P58" i="44"/>
  <c r="Q58" i="44"/>
  <c r="U58" i="44"/>
  <c r="V58" i="44"/>
  <c r="W58" i="44"/>
  <c r="X58" i="44"/>
  <c r="Y58" i="44"/>
  <c r="Z58" i="44"/>
  <c r="AA58" i="44"/>
  <c r="AB58" i="44"/>
  <c r="AC58" i="44"/>
  <c r="AD58" i="44"/>
  <c r="AE58" i="44"/>
  <c r="AF58" i="44"/>
  <c r="AG58" i="44"/>
  <c r="D59" i="44"/>
  <c r="O59" i="44"/>
  <c r="P59" i="44"/>
  <c r="Q59" i="44"/>
  <c r="U59" i="44"/>
  <c r="V59" i="44"/>
  <c r="W59" i="44"/>
  <c r="X59" i="44"/>
  <c r="Y59" i="44"/>
  <c r="Z59" i="44"/>
  <c r="AA59" i="44"/>
  <c r="AB59" i="44"/>
  <c r="AC59" i="44"/>
  <c r="AD59" i="44"/>
  <c r="AE59" i="44"/>
  <c r="AF59" i="44"/>
  <c r="AG59" i="44"/>
  <c r="D60" i="44"/>
  <c r="O60" i="44"/>
  <c r="P60" i="44"/>
  <c r="Q60" i="44"/>
  <c r="U60" i="44"/>
  <c r="V60" i="44"/>
  <c r="W60" i="44"/>
  <c r="X60" i="44"/>
  <c r="Y60" i="44"/>
  <c r="Z60" i="44"/>
  <c r="AA60" i="44"/>
  <c r="AB60" i="44"/>
  <c r="AC60" i="44"/>
  <c r="AD60" i="44"/>
  <c r="AE60" i="44"/>
  <c r="AF60" i="44"/>
  <c r="AG60" i="44"/>
  <c r="D61" i="44"/>
  <c r="O61" i="44"/>
  <c r="P61" i="44"/>
  <c r="Q61" i="44"/>
  <c r="U61" i="44"/>
  <c r="V61" i="44"/>
  <c r="W61" i="44"/>
  <c r="X61" i="44"/>
  <c r="Y61" i="44"/>
  <c r="Z61" i="44"/>
  <c r="AA61" i="44"/>
  <c r="AB61" i="44"/>
  <c r="AC61" i="44"/>
  <c r="AD61" i="44"/>
  <c r="AE61" i="44"/>
  <c r="AF61" i="44"/>
  <c r="AG61" i="44"/>
  <c r="D62" i="44"/>
  <c r="O62" i="44"/>
  <c r="P62" i="44"/>
  <c r="Q62" i="44"/>
  <c r="U62" i="44"/>
  <c r="V62" i="44"/>
  <c r="W62" i="44"/>
  <c r="X62" i="44"/>
  <c r="Y62" i="44"/>
  <c r="Z62" i="44"/>
  <c r="AA62" i="44"/>
  <c r="AB62" i="44"/>
  <c r="AC62" i="44"/>
  <c r="AD62" i="44"/>
  <c r="AE62" i="44"/>
  <c r="AF62" i="44"/>
  <c r="AG62" i="44"/>
  <c r="D63" i="44"/>
  <c r="O63" i="44"/>
  <c r="P63" i="44"/>
  <c r="Q63" i="44"/>
  <c r="U63" i="44"/>
  <c r="V63" i="44"/>
  <c r="W63" i="44"/>
  <c r="X63" i="44"/>
  <c r="Y63" i="44"/>
  <c r="Z63" i="44"/>
  <c r="AA63" i="44"/>
  <c r="AB63" i="44"/>
  <c r="AC63" i="44"/>
  <c r="AD63" i="44"/>
  <c r="AE63" i="44"/>
  <c r="AF63" i="44"/>
  <c r="AG63" i="44"/>
  <c r="D64" i="44"/>
  <c r="O64" i="44"/>
  <c r="P64" i="44"/>
  <c r="Q64" i="44"/>
  <c r="U64" i="44"/>
  <c r="V64" i="44"/>
  <c r="W64" i="44"/>
  <c r="X64" i="44"/>
  <c r="Y64" i="44"/>
  <c r="Z64" i="44"/>
  <c r="AA64" i="44"/>
  <c r="AB64" i="44"/>
  <c r="AC64" i="44"/>
  <c r="AD64" i="44"/>
  <c r="AE64" i="44"/>
  <c r="AF64" i="44"/>
  <c r="AG64" i="44"/>
  <c r="D65" i="44"/>
  <c r="O65" i="44"/>
  <c r="P65" i="44"/>
  <c r="Q65" i="44"/>
  <c r="U65" i="44"/>
  <c r="V65" i="44"/>
  <c r="W65" i="44"/>
  <c r="X65" i="44"/>
  <c r="Y65" i="44"/>
  <c r="Z65" i="44"/>
  <c r="AA65" i="44"/>
  <c r="AB65" i="44"/>
  <c r="AC65" i="44"/>
  <c r="AD65" i="44"/>
  <c r="AE65" i="44"/>
  <c r="AF65" i="44"/>
  <c r="AG65" i="44"/>
  <c r="D66" i="44"/>
  <c r="O66" i="44"/>
  <c r="P66" i="44"/>
  <c r="Q66" i="44"/>
  <c r="U66" i="44"/>
  <c r="V66" i="44"/>
  <c r="W66" i="44"/>
  <c r="X66" i="44"/>
  <c r="Y66" i="44"/>
  <c r="Z66" i="44"/>
  <c r="AA66" i="44"/>
  <c r="AB66" i="44"/>
  <c r="AC66" i="44"/>
  <c r="AD66" i="44"/>
  <c r="AE66" i="44"/>
  <c r="AF66" i="44"/>
  <c r="AG66" i="44"/>
  <c r="D67" i="44"/>
  <c r="O67" i="44"/>
  <c r="P67" i="44"/>
  <c r="Q67" i="44"/>
  <c r="U67" i="44"/>
  <c r="V67" i="44"/>
  <c r="W67" i="44"/>
  <c r="X67" i="44"/>
  <c r="Y67" i="44"/>
  <c r="Z67" i="44"/>
  <c r="AA67" i="44"/>
  <c r="AB67" i="44"/>
  <c r="AC67" i="44"/>
  <c r="AD67" i="44"/>
  <c r="AE67" i="44"/>
  <c r="AF67" i="44"/>
  <c r="AG67" i="44"/>
  <c r="D68" i="44"/>
  <c r="O68" i="44"/>
  <c r="P68" i="44"/>
  <c r="Q68" i="44"/>
  <c r="U68" i="44"/>
  <c r="V68" i="44"/>
  <c r="W68" i="44"/>
  <c r="X68" i="44"/>
  <c r="Y68" i="44"/>
  <c r="Z68" i="44"/>
  <c r="AA68" i="44"/>
  <c r="AB68" i="44"/>
  <c r="AC68" i="44"/>
  <c r="AD68" i="44"/>
  <c r="AE68" i="44"/>
  <c r="AF68" i="44"/>
  <c r="AG68" i="44"/>
  <c r="D69" i="44"/>
  <c r="O69" i="44"/>
  <c r="P69" i="44"/>
  <c r="Q69" i="44"/>
  <c r="U69" i="44"/>
  <c r="V69" i="44"/>
  <c r="W69" i="44"/>
  <c r="X69" i="44"/>
  <c r="Y69" i="44"/>
  <c r="Z69" i="44"/>
  <c r="AA69" i="44"/>
  <c r="AB69" i="44"/>
  <c r="AC69" i="44"/>
  <c r="AD69" i="44"/>
  <c r="AE69" i="44"/>
  <c r="AF69" i="44"/>
  <c r="AG69" i="44"/>
  <c r="D70" i="44"/>
  <c r="O70" i="44"/>
  <c r="P70" i="44"/>
  <c r="Q70" i="44"/>
  <c r="U70" i="44"/>
  <c r="V70" i="44"/>
  <c r="W70" i="44"/>
  <c r="X70" i="44"/>
  <c r="Y70" i="44"/>
  <c r="Z70" i="44"/>
  <c r="AA70" i="44"/>
  <c r="AB70" i="44"/>
  <c r="AC70" i="44"/>
  <c r="AD70" i="44"/>
  <c r="AE70" i="44"/>
  <c r="AF70" i="44"/>
  <c r="AG70" i="44"/>
  <c r="D71" i="44"/>
  <c r="O71" i="44"/>
  <c r="P71" i="44"/>
  <c r="Q71" i="44"/>
  <c r="U71" i="44"/>
  <c r="V71" i="44"/>
  <c r="W71" i="44"/>
  <c r="X71" i="44"/>
  <c r="Y71" i="44"/>
  <c r="Z71" i="44"/>
  <c r="AA71" i="44"/>
  <c r="AB71" i="44"/>
  <c r="AC71" i="44"/>
  <c r="AD71" i="44"/>
  <c r="AE71" i="44"/>
  <c r="AF71" i="44"/>
  <c r="AG71" i="44"/>
  <c r="D72" i="44"/>
  <c r="O72" i="44"/>
  <c r="P72" i="44"/>
  <c r="Q72" i="44"/>
  <c r="U72" i="44"/>
  <c r="V72" i="44"/>
  <c r="W72" i="44"/>
  <c r="X72" i="44"/>
  <c r="Y72" i="44"/>
  <c r="Z72" i="44"/>
  <c r="AA72" i="44"/>
  <c r="AB72" i="44"/>
  <c r="AC72" i="44"/>
  <c r="AD72" i="44"/>
  <c r="AE72" i="44"/>
  <c r="AF72" i="44"/>
  <c r="AG72" i="44"/>
  <c r="D73" i="44"/>
  <c r="O73" i="44"/>
  <c r="P73" i="44"/>
  <c r="Q73" i="44"/>
  <c r="U73" i="44"/>
  <c r="V73" i="44"/>
  <c r="W73" i="44"/>
  <c r="X73" i="44"/>
  <c r="Y73" i="44"/>
  <c r="Z73" i="44"/>
  <c r="AA73" i="44"/>
  <c r="AB73" i="44"/>
  <c r="AC73" i="44"/>
  <c r="AD73" i="44"/>
  <c r="AE73" i="44"/>
  <c r="AF73" i="44"/>
  <c r="AG73" i="44"/>
  <c r="D74" i="44"/>
  <c r="O74" i="44"/>
  <c r="P74" i="44"/>
  <c r="Q74" i="44"/>
  <c r="U74" i="44"/>
  <c r="V74" i="44"/>
  <c r="W74" i="44"/>
  <c r="X74" i="44"/>
  <c r="Y74" i="44"/>
  <c r="Z74" i="44"/>
  <c r="AA74" i="44"/>
  <c r="AB74" i="44"/>
  <c r="AC74" i="44"/>
  <c r="AD74" i="44"/>
  <c r="AE74" i="44"/>
  <c r="AF74" i="44"/>
  <c r="AG74" i="44"/>
  <c r="D75" i="44"/>
  <c r="O75" i="44"/>
  <c r="P75" i="44"/>
  <c r="Q75" i="44"/>
  <c r="U75" i="44"/>
  <c r="V75" i="44"/>
  <c r="W75" i="44"/>
  <c r="X75" i="44"/>
  <c r="Y75" i="44"/>
  <c r="Z75" i="44"/>
  <c r="AA75" i="44"/>
  <c r="AB75" i="44"/>
  <c r="AC75" i="44"/>
  <c r="AD75" i="44"/>
  <c r="AE75" i="44"/>
  <c r="AF75" i="44"/>
  <c r="AG75" i="44"/>
  <c r="D76" i="44"/>
  <c r="O76" i="44"/>
  <c r="P76" i="44"/>
  <c r="Q76" i="44"/>
  <c r="U76" i="44"/>
  <c r="V76" i="44"/>
  <c r="W76" i="44"/>
  <c r="X76" i="44"/>
  <c r="Y76" i="44"/>
  <c r="Z76" i="44"/>
  <c r="AA76" i="44"/>
  <c r="AB76" i="44"/>
  <c r="AC76" i="44"/>
  <c r="AD76" i="44"/>
  <c r="AE76" i="44"/>
  <c r="AF76" i="44"/>
  <c r="AG76" i="44"/>
  <c r="D77" i="44"/>
  <c r="O77" i="44"/>
  <c r="P77" i="44"/>
  <c r="Q77" i="44"/>
  <c r="U77" i="44"/>
  <c r="V77" i="44"/>
  <c r="W77" i="44"/>
  <c r="X77" i="44"/>
  <c r="Y77" i="44"/>
  <c r="Z77" i="44"/>
  <c r="AA77" i="44"/>
  <c r="AB77" i="44"/>
  <c r="AC77" i="44"/>
  <c r="AD77" i="44"/>
  <c r="AE77" i="44"/>
  <c r="AF77" i="44"/>
  <c r="AG77" i="44"/>
  <c r="D78" i="44"/>
  <c r="O78" i="44"/>
  <c r="P78" i="44"/>
  <c r="Q78" i="44"/>
  <c r="U78" i="44"/>
  <c r="V78" i="44"/>
  <c r="W78" i="44"/>
  <c r="X78" i="44"/>
  <c r="Y78" i="44"/>
  <c r="Z78" i="44"/>
  <c r="AA78" i="44"/>
  <c r="AB78" i="44"/>
  <c r="AC78" i="44"/>
  <c r="AD78" i="44"/>
  <c r="AE78" i="44"/>
  <c r="AF78" i="44"/>
  <c r="AG78" i="44"/>
  <c r="D17" i="45"/>
  <c r="I17" i="45"/>
  <c r="M17" i="45"/>
  <c r="N17" i="45"/>
  <c r="O17" i="45"/>
  <c r="P17" i="45"/>
  <c r="Q17" i="45"/>
  <c r="M192" i="45"/>
  <c r="I192" i="45"/>
  <c r="N192" i="45"/>
  <c r="S192" i="45"/>
  <c r="M191" i="45"/>
  <c r="I191" i="45"/>
  <c r="N191" i="45"/>
  <c r="S191" i="45"/>
  <c r="M190" i="45"/>
  <c r="I190" i="45"/>
  <c r="N190" i="45"/>
  <c r="S190" i="45"/>
  <c r="M189" i="45"/>
  <c r="I189" i="45"/>
  <c r="N189" i="45"/>
  <c r="S189" i="45"/>
  <c r="M188" i="45"/>
  <c r="I188" i="45"/>
  <c r="N188" i="45"/>
  <c r="S188" i="45"/>
  <c r="M187" i="45"/>
  <c r="I187" i="45"/>
  <c r="N187" i="45"/>
  <c r="S187" i="45"/>
  <c r="M186" i="45"/>
  <c r="I186" i="45"/>
  <c r="N186" i="45"/>
  <c r="S186" i="45"/>
  <c r="M185" i="45"/>
  <c r="I185" i="45"/>
  <c r="N185" i="45"/>
  <c r="S185" i="45"/>
  <c r="M184" i="45"/>
  <c r="I184" i="45"/>
  <c r="N184" i="45"/>
  <c r="S184" i="45"/>
  <c r="M183" i="45"/>
  <c r="I183" i="45"/>
  <c r="N183" i="45"/>
  <c r="S183" i="45"/>
  <c r="M182" i="45"/>
  <c r="I182" i="45"/>
  <c r="N182" i="45"/>
  <c r="S182" i="45"/>
  <c r="M181" i="45"/>
  <c r="I181" i="45"/>
  <c r="N181" i="45"/>
  <c r="S181" i="45"/>
  <c r="M180" i="45"/>
  <c r="I180" i="45"/>
  <c r="N180" i="45"/>
  <c r="S180" i="45"/>
  <c r="M179" i="45"/>
  <c r="I179" i="45"/>
  <c r="N179" i="45"/>
  <c r="S179" i="45"/>
  <c r="M178" i="45"/>
  <c r="I178" i="45"/>
  <c r="N178" i="45"/>
  <c r="S178" i="45"/>
  <c r="M177" i="45"/>
  <c r="I177" i="45"/>
  <c r="N177" i="45"/>
  <c r="S177" i="45"/>
  <c r="M176" i="45"/>
  <c r="I176" i="45"/>
  <c r="N176" i="45"/>
  <c r="S176" i="45"/>
  <c r="M175" i="45"/>
  <c r="I175" i="45"/>
  <c r="N175" i="45"/>
  <c r="S175" i="45"/>
  <c r="M174" i="45"/>
  <c r="I174" i="45"/>
  <c r="N174" i="45"/>
  <c r="S174" i="45"/>
  <c r="M173" i="45"/>
  <c r="I173" i="45"/>
  <c r="N173" i="45"/>
  <c r="S173" i="45"/>
  <c r="M172" i="45"/>
  <c r="I172" i="45"/>
  <c r="N172" i="45"/>
  <c r="S172" i="45"/>
  <c r="M171" i="45"/>
  <c r="I171" i="45"/>
  <c r="N171" i="45"/>
  <c r="S171" i="45"/>
  <c r="M170" i="45"/>
  <c r="I170" i="45"/>
  <c r="N170" i="45"/>
  <c r="S170" i="45"/>
  <c r="M169" i="45"/>
  <c r="I169" i="45"/>
  <c r="N169" i="45"/>
  <c r="S169" i="45"/>
  <c r="M168" i="45"/>
  <c r="I168" i="45"/>
  <c r="N168" i="45"/>
  <c r="S168" i="45"/>
  <c r="M167" i="45"/>
  <c r="I167" i="45"/>
  <c r="N167" i="45"/>
  <c r="S167" i="45"/>
  <c r="M166" i="45"/>
  <c r="I166" i="45"/>
  <c r="N166" i="45"/>
  <c r="S166" i="45"/>
  <c r="M165" i="45"/>
  <c r="I165" i="45"/>
  <c r="N165" i="45"/>
  <c r="S165" i="45"/>
  <c r="M164" i="45"/>
  <c r="I164" i="45"/>
  <c r="N164" i="45"/>
  <c r="S164" i="45"/>
  <c r="M163" i="45"/>
  <c r="I163" i="45"/>
  <c r="N163" i="45"/>
  <c r="S163" i="45"/>
  <c r="M162" i="45"/>
  <c r="I162" i="45"/>
  <c r="N162" i="45"/>
  <c r="S162" i="45"/>
  <c r="M161" i="45"/>
  <c r="I161" i="45"/>
  <c r="N161" i="45"/>
  <c r="S161" i="45"/>
  <c r="M160" i="45"/>
  <c r="I160" i="45"/>
  <c r="N160" i="45"/>
  <c r="S160" i="45"/>
  <c r="M159" i="45"/>
  <c r="I159" i="45"/>
  <c r="N159" i="45"/>
  <c r="S159" i="45"/>
  <c r="M158" i="45"/>
  <c r="I158" i="45"/>
  <c r="N158" i="45"/>
  <c r="S158" i="45"/>
  <c r="M157" i="45"/>
  <c r="I157" i="45"/>
  <c r="N157" i="45"/>
  <c r="S157" i="45"/>
  <c r="M156" i="45"/>
  <c r="I156" i="45"/>
  <c r="N156" i="45"/>
  <c r="S156" i="45"/>
  <c r="M155" i="45"/>
  <c r="I155" i="45"/>
  <c r="N155" i="45"/>
  <c r="S155" i="45"/>
  <c r="M154" i="45"/>
  <c r="I154" i="45"/>
  <c r="N154" i="45"/>
  <c r="S154" i="45"/>
  <c r="M153" i="45"/>
  <c r="I153" i="45"/>
  <c r="N153" i="45"/>
  <c r="S153" i="45"/>
  <c r="M152" i="45"/>
  <c r="I152" i="45"/>
  <c r="N152" i="45"/>
  <c r="S152" i="45"/>
  <c r="M151" i="45"/>
  <c r="I151" i="45"/>
  <c r="N151" i="45"/>
  <c r="S151" i="45"/>
  <c r="M150" i="45"/>
  <c r="I150" i="45"/>
  <c r="N150" i="45"/>
  <c r="S150" i="45"/>
  <c r="M149" i="45"/>
  <c r="I149" i="45"/>
  <c r="N149" i="45"/>
  <c r="S149" i="45"/>
  <c r="M148" i="45"/>
  <c r="I148" i="45"/>
  <c r="N148" i="45"/>
  <c r="S148" i="45"/>
  <c r="M147" i="45"/>
  <c r="I147" i="45"/>
  <c r="N147" i="45"/>
  <c r="S147" i="45"/>
  <c r="M146" i="45"/>
  <c r="I146" i="45"/>
  <c r="N146" i="45"/>
  <c r="S146" i="45"/>
  <c r="M145" i="45"/>
  <c r="I145" i="45"/>
  <c r="N145" i="45"/>
  <c r="S145" i="45"/>
  <c r="M144" i="45"/>
  <c r="I144" i="45"/>
  <c r="N144" i="45"/>
  <c r="S144" i="45"/>
  <c r="M143" i="45"/>
  <c r="I143" i="45"/>
  <c r="N143" i="45"/>
  <c r="S143" i="45"/>
  <c r="M142" i="45"/>
  <c r="I142" i="45"/>
  <c r="N142" i="45"/>
  <c r="S142" i="45"/>
  <c r="M141" i="45"/>
  <c r="I141" i="45"/>
  <c r="N141" i="45"/>
  <c r="S141" i="45"/>
  <c r="M140" i="45"/>
  <c r="I140" i="45"/>
  <c r="N140" i="45"/>
  <c r="S140" i="45"/>
  <c r="M139" i="45"/>
  <c r="I139" i="45"/>
  <c r="N139" i="45"/>
  <c r="S139" i="45"/>
  <c r="M138" i="45"/>
  <c r="I138" i="45"/>
  <c r="N138" i="45"/>
  <c r="S138" i="45"/>
  <c r="M137" i="45"/>
  <c r="I137" i="45"/>
  <c r="N137" i="45"/>
  <c r="S137" i="45"/>
  <c r="M136" i="45"/>
  <c r="I136" i="45"/>
  <c r="N136" i="45"/>
  <c r="S136" i="45"/>
  <c r="M135" i="45"/>
  <c r="I135" i="45"/>
  <c r="N135" i="45"/>
  <c r="S135" i="45"/>
  <c r="M134" i="45"/>
  <c r="I134" i="45"/>
  <c r="N134" i="45"/>
  <c r="S134" i="45"/>
  <c r="M133" i="45"/>
  <c r="I133" i="45"/>
  <c r="N133" i="45"/>
  <c r="S133" i="45"/>
  <c r="M132" i="45"/>
  <c r="I132" i="45"/>
  <c r="N132" i="45"/>
  <c r="S132" i="45"/>
  <c r="M131" i="45"/>
  <c r="I131" i="45"/>
  <c r="N131" i="45"/>
  <c r="S131" i="45"/>
  <c r="M130" i="45"/>
  <c r="I130" i="45"/>
  <c r="N130" i="45"/>
  <c r="S130" i="45"/>
  <c r="M129" i="45"/>
  <c r="I129" i="45"/>
  <c r="N129" i="45"/>
  <c r="S129" i="45"/>
  <c r="M128" i="45"/>
  <c r="I128" i="45"/>
  <c r="N128" i="45"/>
  <c r="S128" i="45"/>
  <c r="M127" i="45"/>
  <c r="I127" i="45"/>
  <c r="N127" i="45"/>
  <c r="S127" i="45"/>
  <c r="M126" i="45"/>
  <c r="I126" i="45"/>
  <c r="N126" i="45"/>
  <c r="S126" i="45"/>
  <c r="M125" i="45"/>
  <c r="I125" i="45"/>
  <c r="N125" i="45"/>
  <c r="S125" i="45"/>
  <c r="M124" i="45"/>
  <c r="I124" i="45"/>
  <c r="N124" i="45"/>
  <c r="S124" i="45"/>
  <c r="M123" i="45"/>
  <c r="I123" i="45"/>
  <c r="N123" i="45"/>
  <c r="S123" i="45"/>
  <c r="M122" i="45"/>
  <c r="I122" i="45"/>
  <c r="N122" i="45"/>
  <c r="S122" i="45"/>
  <c r="M121" i="45"/>
  <c r="I121" i="45"/>
  <c r="N121" i="45"/>
  <c r="S121" i="45"/>
  <c r="M120" i="45"/>
  <c r="I120" i="45"/>
  <c r="N120" i="45"/>
  <c r="S120" i="45"/>
  <c r="M119" i="45"/>
  <c r="I119" i="45"/>
  <c r="N119" i="45"/>
  <c r="S119" i="45"/>
  <c r="M118" i="45"/>
  <c r="I118" i="45"/>
  <c r="N118" i="45"/>
  <c r="S118" i="45"/>
  <c r="M117" i="45"/>
  <c r="I117" i="45"/>
  <c r="N117" i="45"/>
  <c r="S117" i="45"/>
  <c r="M116" i="45"/>
  <c r="I116" i="45"/>
  <c r="N116" i="45"/>
  <c r="S116" i="45"/>
  <c r="M115" i="45"/>
  <c r="I115" i="45"/>
  <c r="N115" i="45"/>
  <c r="S115" i="45"/>
  <c r="M114" i="45"/>
  <c r="I114" i="45"/>
  <c r="N114" i="45"/>
  <c r="S114" i="45"/>
  <c r="M113" i="45"/>
  <c r="I113" i="45"/>
  <c r="N113" i="45"/>
  <c r="S113" i="45"/>
  <c r="M112" i="45"/>
  <c r="I112" i="45"/>
  <c r="N112" i="45"/>
  <c r="S112" i="45"/>
  <c r="M111" i="45"/>
  <c r="I111" i="45"/>
  <c r="N111" i="45"/>
  <c r="S111" i="45"/>
  <c r="M110" i="45"/>
  <c r="I110" i="45"/>
  <c r="N110" i="45"/>
  <c r="S110" i="45"/>
  <c r="M109" i="45"/>
  <c r="I109" i="45"/>
  <c r="N109" i="45"/>
  <c r="S109" i="45"/>
  <c r="M108" i="45"/>
  <c r="I108" i="45"/>
  <c r="N108" i="45"/>
  <c r="S108" i="45"/>
  <c r="M107" i="45"/>
  <c r="I107" i="45"/>
  <c r="N107" i="45"/>
  <c r="S107" i="45"/>
  <c r="M106" i="45"/>
  <c r="I106" i="45"/>
  <c r="N106" i="45"/>
  <c r="S106" i="45"/>
  <c r="M105" i="45"/>
  <c r="I105" i="45"/>
  <c r="N105" i="45"/>
  <c r="S105" i="45"/>
  <c r="M104" i="45"/>
  <c r="I104" i="45"/>
  <c r="N104" i="45"/>
  <c r="S104" i="45"/>
  <c r="M103" i="45"/>
  <c r="I103" i="45"/>
  <c r="N103" i="45"/>
  <c r="S103" i="45"/>
  <c r="M102" i="45"/>
  <c r="I102" i="45"/>
  <c r="N102" i="45"/>
  <c r="S102" i="45"/>
  <c r="M101" i="45"/>
  <c r="I101" i="45"/>
  <c r="N101" i="45"/>
  <c r="S101" i="45"/>
  <c r="M100" i="45"/>
  <c r="I100" i="45"/>
  <c r="N100" i="45"/>
  <c r="S100" i="45"/>
  <c r="M99" i="45"/>
  <c r="I99" i="45"/>
  <c r="N99" i="45"/>
  <c r="S99" i="45"/>
  <c r="M98" i="45"/>
  <c r="I98" i="45"/>
  <c r="N98" i="45"/>
  <c r="S98" i="45"/>
  <c r="M97" i="45"/>
  <c r="I97" i="45"/>
  <c r="N97" i="45"/>
  <c r="S97" i="45"/>
  <c r="M96" i="45"/>
  <c r="I96" i="45"/>
  <c r="N96" i="45"/>
  <c r="S96" i="45"/>
  <c r="M95" i="45"/>
  <c r="I95" i="45"/>
  <c r="N95" i="45"/>
  <c r="S95" i="45"/>
  <c r="M94" i="45"/>
  <c r="I94" i="45"/>
  <c r="N94" i="45"/>
  <c r="S94" i="45"/>
  <c r="M93" i="45"/>
  <c r="I93" i="45"/>
  <c r="N93" i="45"/>
  <c r="S93" i="45"/>
  <c r="M92" i="45"/>
  <c r="I92" i="45"/>
  <c r="N92" i="45"/>
  <c r="S92" i="45"/>
  <c r="M91" i="45"/>
  <c r="I91" i="45"/>
  <c r="N91" i="45"/>
  <c r="S91" i="45"/>
  <c r="M90" i="45"/>
  <c r="I90" i="45"/>
  <c r="N90" i="45"/>
  <c r="S90" i="45"/>
  <c r="M89" i="45"/>
  <c r="I89" i="45"/>
  <c r="N89" i="45"/>
  <c r="S89" i="45"/>
  <c r="M88" i="45"/>
  <c r="I88" i="45"/>
  <c r="N88" i="45"/>
  <c r="S88" i="45"/>
  <c r="M87" i="45"/>
  <c r="I87" i="45"/>
  <c r="N87" i="45"/>
  <c r="S87" i="45"/>
  <c r="M86" i="45"/>
  <c r="I86" i="45"/>
  <c r="N86" i="45"/>
  <c r="S86" i="45"/>
  <c r="M85" i="45"/>
  <c r="I85" i="45"/>
  <c r="N85" i="45"/>
  <c r="S85" i="45"/>
  <c r="M84" i="45"/>
  <c r="I84" i="45"/>
  <c r="N84" i="45"/>
  <c r="S84" i="45"/>
  <c r="M83" i="45"/>
  <c r="I83" i="45"/>
  <c r="N83" i="45"/>
  <c r="S83" i="45"/>
  <c r="M82" i="45"/>
  <c r="I82" i="45"/>
  <c r="N82" i="45"/>
  <c r="S82" i="45"/>
  <c r="M81" i="45"/>
  <c r="I81" i="45"/>
  <c r="N81" i="45"/>
  <c r="S81" i="45"/>
  <c r="M80" i="45"/>
  <c r="I80" i="45"/>
  <c r="N80" i="45"/>
  <c r="S80" i="45"/>
  <c r="M79" i="45"/>
  <c r="I79" i="45"/>
  <c r="N79" i="45"/>
  <c r="S79" i="45"/>
  <c r="M78" i="45"/>
  <c r="I78" i="45"/>
  <c r="N78" i="45"/>
  <c r="S78" i="45"/>
  <c r="M77" i="45"/>
  <c r="I77" i="45"/>
  <c r="N77" i="45"/>
  <c r="S77" i="45"/>
  <c r="M76" i="45"/>
  <c r="I76" i="45"/>
  <c r="N76" i="45"/>
  <c r="S76" i="45"/>
  <c r="M75" i="45"/>
  <c r="I75" i="45"/>
  <c r="N75" i="45"/>
  <c r="S75" i="45"/>
  <c r="M74" i="45"/>
  <c r="I74" i="45"/>
  <c r="N74" i="45"/>
  <c r="S74" i="45"/>
  <c r="M73" i="45"/>
  <c r="I73" i="45"/>
  <c r="N73" i="45"/>
  <c r="S73" i="45"/>
  <c r="M72" i="45"/>
  <c r="I72" i="45"/>
  <c r="N72" i="45"/>
  <c r="S72" i="45"/>
  <c r="M71" i="45"/>
  <c r="I71" i="45"/>
  <c r="N71" i="45"/>
  <c r="S71" i="45"/>
  <c r="M70" i="45"/>
  <c r="I70" i="45"/>
  <c r="N70" i="45"/>
  <c r="S70" i="45"/>
  <c r="M69" i="45"/>
  <c r="I69" i="45"/>
  <c r="N69" i="45"/>
  <c r="S69" i="45"/>
  <c r="M68" i="45"/>
  <c r="I68" i="45"/>
  <c r="N68" i="45"/>
  <c r="S68" i="45"/>
  <c r="M67" i="45"/>
  <c r="I67" i="45"/>
  <c r="N67" i="45"/>
  <c r="S67" i="45"/>
  <c r="M66" i="45"/>
  <c r="I66" i="45"/>
  <c r="N66" i="45"/>
  <c r="S66" i="45"/>
  <c r="M65" i="45"/>
  <c r="I65" i="45"/>
  <c r="N65" i="45"/>
  <c r="S65" i="45"/>
  <c r="M64" i="45"/>
  <c r="I64" i="45"/>
  <c r="N64" i="45"/>
  <c r="S64" i="45"/>
  <c r="M63" i="45"/>
  <c r="I63" i="45"/>
  <c r="N63" i="45"/>
  <c r="S63" i="45"/>
  <c r="M62" i="45"/>
  <c r="I62" i="45"/>
  <c r="N62" i="45"/>
  <c r="S62" i="45"/>
  <c r="M61" i="45"/>
  <c r="I61" i="45"/>
  <c r="N61" i="45"/>
  <c r="S61" i="45"/>
  <c r="M60" i="45"/>
  <c r="I60" i="45"/>
  <c r="N60" i="45"/>
  <c r="S60" i="45"/>
  <c r="M59" i="45"/>
  <c r="I59" i="45"/>
  <c r="N59" i="45"/>
  <c r="S59" i="45"/>
  <c r="M58" i="45"/>
  <c r="I58" i="45"/>
  <c r="N58" i="45"/>
  <c r="S58" i="45"/>
  <c r="M57" i="45"/>
  <c r="I57" i="45"/>
  <c r="N57" i="45"/>
  <c r="S57" i="45"/>
  <c r="M56" i="45"/>
  <c r="I56" i="45"/>
  <c r="N56" i="45"/>
  <c r="S56" i="45"/>
  <c r="M55" i="45"/>
  <c r="I55" i="45"/>
  <c r="N55" i="45"/>
  <c r="S55" i="45"/>
  <c r="M54" i="45"/>
  <c r="I54" i="45"/>
  <c r="N54" i="45"/>
  <c r="S54" i="45"/>
  <c r="M53" i="45"/>
  <c r="I53" i="45"/>
  <c r="N53" i="45"/>
  <c r="S53" i="45"/>
  <c r="M52" i="45"/>
  <c r="I52" i="45"/>
  <c r="N52" i="45"/>
  <c r="S52" i="45"/>
  <c r="M51" i="45"/>
  <c r="I51" i="45"/>
  <c r="N51" i="45"/>
  <c r="S51" i="45"/>
  <c r="M50" i="45"/>
  <c r="I50" i="45"/>
  <c r="N50" i="45"/>
  <c r="S50" i="45"/>
  <c r="M49" i="45"/>
  <c r="I49" i="45"/>
  <c r="N49" i="45"/>
  <c r="S49" i="45"/>
  <c r="M48" i="45"/>
  <c r="I48" i="45"/>
  <c r="N48" i="45"/>
  <c r="S48" i="45"/>
  <c r="M47" i="45"/>
  <c r="I47" i="45"/>
  <c r="N47" i="45"/>
  <c r="S47" i="45"/>
  <c r="M46" i="45"/>
  <c r="I46" i="45"/>
  <c r="N46" i="45"/>
  <c r="S46" i="45"/>
  <c r="M45" i="45"/>
  <c r="I45" i="45"/>
  <c r="N45" i="45"/>
  <c r="S45" i="45"/>
  <c r="M44" i="45"/>
  <c r="I44" i="45"/>
  <c r="N44" i="45"/>
  <c r="S44" i="45"/>
  <c r="M43" i="45"/>
  <c r="I43" i="45"/>
  <c r="N43" i="45"/>
  <c r="S43" i="45"/>
  <c r="M42" i="45"/>
  <c r="I42" i="45"/>
  <c r="N42" i="45"/>
  <c r="S42" i="45"/>
  <c r="M41" i="45"/>
  <c r="I41" i="45"/>
  <c r="N41" i="45"/>
  <c r="S41" i="45"/>
  <c r="M40" i="45"/>
  <c r="I40" i="45"/>
  <c r="N40" i="45"/>
  <c r="S40" i="45"/>
  <c r="M39" i="45"/>
  <c r="I39" i="45"/>
  <c r="N39" i="45"/>
  <c r="S39" i="45"/>
  <c r="M38" i="45"/>
  <c r="I38" i="45"/>
  <c r="N38" i="45"/>
  <c r="S38" i="45"/>
  <c r="M37" i="45"/>
  <c r="I37" i="45"/>
  <c r="N37" i="45"/>
  <c r="S37" i="45"/>
  <c r="M36" i="45"/>
  <c r="I36" i="45"/>
  <c r="N36" i="45"/>
  <c r="S36" i="45"/>
  <c r="M35" i="45"/>
  <c r="I35" i="45"/>
  <c r="N35" i="45"/>
  <c r="S35" i="45"/>
  <c r="M34" i="45"/>
  <c r="I34" i="45"/>
  <c r="N34" i="45"/>
  <c r="S34" i="45"/>
  <c r="M33" i="45"/>
  <c r="I33" i="45"/>
  <c r="N33" i="45"/>
  <c r="S33" i="45"/>
  <c r="M32" i="45"/>
  <c r="I32" i="45"/>
  <c r="N32" i="45"/>
  <c r="S32" i="45"/>
  <c r="M31" i="45"/>
  <c r="I31" i="45"/>
  <c r="N31" i="45"/>
  <c r="S31" i="45"/>
  <c r="M30" i="45"/>
  <c r="I30" i="45"/>
  <c r="N30" i="45"/>
  <c r="S30" i="45"/>
  <c r="M29" i="45"/>
  <c r="I29" i="45"/>
  <c r="N29" i="45"/>
  <c r="S29" i="45"/>
  <c r="M28" i="45"/>
  <c r="I28" i="45"/>
  <c r="N28" i="45"/>
  <c r="S28" i="45"/>
  <c r="M27" i="45"/>
  <c r="I27" i="45"/>
  <c r="N27" i="45"/>
  <c r="S27" i="45"/>
  <c r="M26" i="45"/>
  <c r="I26" i="45"/>
  <c r="N26" i="45"/>
  <c r="S26" i="45"/>
  <c r="M25" i="45"/>
  <c r="I25" i="45"/>
  <c r="N25" i="45"/>
  <c r="S25" i="45"/>
  <c r="M24" i="45"/>
  <c r="I24" i="45"/>
  <c r="N24" i="45"/>
  <c r="S24" i="45"/>
  <c r="M23" i="45"/>
  <c r="I23" i="45"/>
  <c r="N23" i="45"/>
  <c r="S23" i="45"/>
  <c r="M22" i="45"/>
  <c r="I22" i="45"/>
  <c r="N22" i="45"/>
  <c r="S22" i="45"/>
  <c r="M21" i="45"/>
  <c r="I21" i="45"/>
  <c r="N21" i="45"/>
  <c r="S21" i="45"/>
  <c r="M20" i="45"/>
  <c r="I20" i="45"/>
  <c r="N20" i="45"/>
  <c r="S20" i="45"/>
  <c r="M19" i="45"/>
  <c r="I19" i="45"/>
  <c r="N19" i="45"/>
  <c r="S19" i="45"/>
  <c r="M18" i="45"/>
  <c r="I18" i="45"/>
  <c r="N18" i="45"/>
  <c r="S18" i="45"/>
  <c r="R192" i="45"/>
  <c r="R191" i="45"/>
  <c r="R190" i="45"/>
  <c r="R189" i="45"/>
  <c r="R188" i="45"/>
  <c r="R187" i="45"/>
  <c r="R186" i="45"/>
  <c r="R185" i="45"/>
  <c r="R184" i="45"/>
  <c r="R183" i="45"/>
  <c r="R182" i="45"/>
  <c r="R181" i="45"/>
  <c r="R180" i="45"/>
  <c r="R179" i="45"/>
  <c r="R178" i="45"/>
  <c r="R177" i="45"/>
  <c r="R176" i="45"/>
  <c r="R175" i="45"/>
  <c r="R174" i="45"/>
  <c r="R173" i="45"/>
  <c r="R172" i="45"/>
  <c r="R171" i="45"/>
  <c r="R170" i="45"/>
  <c r="R169" i="45"/>
  <c r="R168" i="45"/>
  <c r="R167" i="45"/>
  <c r="R166" i="45"/>
  <c r="R165" i="45"/>
  <c r="R164" i="45"/>
  <c r="R163" i="45"/>
  <c r="R162" i="45"/>
  <c r="R161" i="45"/>
  <c r="R160" i="45"/>
  <c r="R159" i="45"/>
  <c r="R158" i="45"/>
  <c r="R157" i="45"/>
  <c r="R156" i="45"/>
  <c r="R155" i="45"/>
  <c r="R154" i="45"/>
  <c r="R153" i="45"/>
  <c r="R152" i="45"/>
  <c r="R151" i="45"/>
  <c r="R150" i="45"/>
  <c r="R149" i="45"/>
  <c r="R148" i="45"/>
  <c r="R147" i="45"/>
  <c r="R146" i="45"/>
  <c r="R145" i="45"/>
  <c r="R144" i="45"/>
  <c r="R143" i="45"/>
  <c r="R142" i="45"/>
  <c r="R141" i="45"/>
  <c r="R140" i="45"/>
  <c r="R139" i="45"/>
  <c r="R138" i="45"/>
  <c r="R137" i="45"/>
  <c r="R136" i="45"/>
  <c r="R135" i="45"/>
  <c r="R134" i="45"/>
  <c r="R133" i="45"/>
  <c r="R132" i="45"/>
  <c r="R131" i="45"/>
  <c r="R130" i="45"/>
  <c r="R129" i="45"/>
  <c r="R128" i="45"/>
  <c r="R127" i="45"/>
  <c r="R126" i="45"/>
  <c r="R125" i="45"/>
  <c r="R124" i="45"/>
  <c r="R123" i="45"/>
  <c r="R122" i="45"/>
  <c r="R121" i="45"/>
  <c r="R120" i="45"/>
  <c r="R119" i="45"/>
  <c r="R118" i="45"/>
  <c r="R117" i="45"/>
  <c r="R116" i="45"/>
  <c r="R115" i="45"/>
  <c r="R114" i="45"/>
  <c r="R113" i="45"/>
  <c r="R112" i="45"/>
  <c r="R111" i="45"/>
  <c r="R110" i="45"/>
  <c r="R109" i="45"/>
  <c r="R108" i="45"/>
  <c r="R107" i="45"/>
  <c r="R106" i="45"/>
  <c r="R105" i="45"/>
  <c r="R104" i="45"/>
  <c r="R103" i="45"/>
  <c r="R102" i="45"/>
  <c r="R101" i="45"/>
  <c r="R100" i="45"/>
  <c r="R99" i="45"/>
  <c r="R98" i="45"/>
  <c r="R97" i="45"/>
  <c r="R96" i="45"/>
  <c r="R95" i="45"/>
  <c r="R94" i="45"/>
  <c r="R93" i="45"/>
  <c r="R92" i="45"/>
  <c r="R91" i="45"/>
  <c r="R90" i="45"/>
  <c r="R89" i="45"/>
  <c r="R88" i="45"/>
  <c r="R87" i="45"/>
  <c r="R86" i="45"/>
  <c r="R85" i="45"/>
  <c r="R84" i="45"/>
  <c r="R83" i="45"/>
  <c r="R82" i="45"/>
  <c r="R81" i="45"/>
  <c r="R80" i="45"/>
  <c r="R79" i="45"/>
  <c r="R78" i="45"/>
  <c r="R77" i="45"/>
  <c r="R76" i="45"/>
  <c r="R75" i="45"/>
  <c r="R74" i="45"/>
  <c r="R73" i="45"/>
  <c r="R72" i="45"/>
  <c r="R71" i="45"/>
  <c r="R70" i="45"/>
  <c r="R69" i="45"/>
  <c r="R68" i="45"/>
  <c r="R67" i="45"/>
  <c r="R66" i="45"/>
  <c r="R65" i="45"/>
  <c r="R64" i="45"/>
  <c r="R63" i="45"/>
  <c r="R62" i="45"/>
  <c r="R61" i="45"/>
  <c r="R60" i="45"/>
  <c r="R59" i="45"/>
  <c r="R58" i="45"/>
  <c r="R57" i="45"/>
  <c r="R56" i="45"/>
  <c r="R55" i="45"/>
  <c r="R54" i="45"/>
  <c r="R53" i="45"/>
  <c r="R52" i="45"/>
  <c r="R51" i="45"/>
  <c r="R50" i="45"/>
  <c r="R49" i="45"/>
  <c r="R48" i="45"/>
  <c r="R47" i="45"/>
  <c r="R46" i="45"/>
  <c r="R45" i="45"/>
  <c r="R44" i="45"/>
  <c r="R43" i="45"/>
  <c r="R42" i="45"/>
  <c r="R41" i="45"/>
  <c r="R40" i="45"/>
  <c r="R39" i="45"/>
  <c r="R38" i="45"/>
  <c r="R37" i="45"/>
  <c r="R36" i="45"/>
  <c r="R35" i="45"/>
  <c r="R34" i="45"/>
  <c r="R33" i="45"/>
  <c r="R32" i="45"/>
  <c r="R31" i="45"/>
  <c r="R30" i="45"/>
  <c r="R29" i="45"/>
  <c r="R28" i="45"/>
  <c r="R27" i="45"/>
  <c r="R26" i="45"/>
  <c r="R25" i="45"/>
  <c r="R24" i="45"/>
  <c r="R23" i="45"/>
  <c r="R22" i="45"/>
  <c r="R21" i="45"/>
  <c r="R20" i="45"/>
  <c r="R19" i="45"/>
  <c r="R18" i="45"/>
  <c r="R17" i="45"/>
  <c r="S17" i="45"/>
  <c r="T192" i="45"/>
  <c r="T191" i="45"/>
  <c r="T190" i="45"/>
  <c r="T189" i="45"/>
  <c r="T188" i="45"/>
  <c r="T187" i="45"/>
  <c r="T186" i="45"/>
  <c r="T185" i="45"/>
  <c r="T184" i="45"/>
  <c r="T183" i="45"/>
  <c r="T182" i="45"/>
  <c r="T181" i="45"/>
  <c r="T180" i="45"/>
  <c r="T179" i="45"/>
  <c r="T178" i="45"/>
  <c r="T177" i="45"/>
  <c r="T176" i="45"/>
  <c r="T175" i="45"/>
  <c r="T174" i="45"/>
  <c r="T173" i="45"/>
  <c r="T172" i="45"/>
  <c r="T171" i="45"/>
  <c r="T170" i="45"/>
  <c r="T169" i="45"/>
  <c r="T168" i="45"/>
  <c r="T167" i="45"/>
  <c r="T166" i="45"/>
  <c r="T165" i="45"/>
  <c r="T164" i="45"/>
  <c r="T163" i="45"/>
  <c r="T162" i="45"/>
  <c r="T161" i="45"/>
  <c r="T160" i="45"/>
  <c r="T159" i="45"/>
  <c r="T158" i="45"/>
  <c r="T157" i="45"/>
  <c r="T156" i="45"/>
  <c r="T155" i="45"/>
  <c r="T154" i="45"/>
  <c r="T153" i="45"/>
  <c r="T152" i="45"/>
  <c r="T151" i="45"/>
  <c r="T150" i="45"/>
  <c r="T149" i="45"/>
  <c r="T148" i="45"/>
  <c r="T147" i="45"/>
  <c r="T146" i="45"/>
  <c r="T145" i="45"/>
  <c r="T144" i="45"/>
  <c r="T143" i="45"/>
  <c r="T142" i="45"/>
  <c r="T141" i="45"/>
  <c r="T140" i="45"/>
  <c r="T139" i="45"/>
  <c r="T138" i="45"/>
  <c r="T137" i="45"/>
  <c r="T136" i="45"/>
  <c r="T135" i="45"/>
  <c r="T134" i="45"/>
  <c r="T133" i="45"/>
  <c r="T132" i="45"/>
  <c r="T131" i="45"/>
  <c r="T130" i="45"/>
  <c r="T129" i="45"/>
  <c r="T128" i="45"/>
  <c r="T127" i="45"/>
  <c r="T126" i="45"/>
  <c r="T125" i="45"/>
  <c r="T124" i="45"/>
  <c r="T123" i="45"/>
  <c r="T122" i="45"/>
  <c r="T121" i="45"/>
  <c r="T120" i="45"/>
  <c r="T119" i="45"/>
  <c r="T118" i="45"/>
  <c r="T117" i="45"/>
  <c r="T116" i="45"/>
  <c r="T115" i="45"/>
  <c r="T114" i="45"/>
  <c r="T113" i="45"/>
  <c r="T112" i="45"/>
  <c r="T111" i="45"/>
  <c r="T110" i="45"/>
  <c r="T109" i="45"/>
  <c r="T108" i="45"/>
  <c r="T107" i="45"/>
  <c r="T106" i="45"/>
  <c r="T105" i="45"/>
  <c r="T104" i="45"/>
  <c r="T103" i="45"/>
  <c r="T102" i="45"/>
  <c r="T101" i="45"/>
  <c r="T100" i="45"/>
  <c r="T99" i="45"/>
  <c r="T98" i="45"/>
  <c r="T97" i="45"/>
  <c r="T96" i="45"/>
  <c r="T95" i="45"/>
  <c r="T94" i="45"/>
  <c r="T93" i="45"/>
  <c r="T92" i="45"/>
  <c r="T91" i="45"/>
  <c r="T90" i="45"/>
  <c r="T89" i="45"/>
  <c r="T88" i="45"/>
  <c r="T87" i="45"/>
  <c r="T86" i="45"/>
  <c r="T85" i="45"/>
  <c r="T84" i="45"/>
  <c r="T83" i="45"/>
  <c r="T82" i="45"/>
  <c r="T81" i="45"/>
  <c r="T80" i="45"/>
  <c r="T79" i="45"/>
  <c r="T78" i="45"/>
  <c r="T77" i="45"/>
  <c r="T76" i="45"/>
  <c r="T75" i="45"/>
  <c r="T74" i="45"/>
  <c r="T73" i="45"/>
  <c r="T72" i="45"/>
  <c r="T71" i="45"/>
  <c r="T70" i="45"/>
  <c r="T69" i="45"/>
  <c r="T68" i="45"/>
  <c r="T67" i="45"/>
  <c r="T66" i="45"/>
  <c r="T65" i="45"/>
  <c r="T64" i="45"/>
  <c r="T63" i="45"/>
  <c r="T62" i="45"/>
  <c r="T61" i="45"/>
  <c r="T60" i="45"/>
  <c r="T59" i="45"/>
  <c r="T58" i="45"/>
  <c r="T57" i="45"/>
  <c r="T56" i="45"/>
  <c r="T55" i="45"/>
  <c r="T54" i="45"/>
  <c r="T53" i="45"/>
  <c r="T52" i="45"/>
  <c r="T51" i="45"/>
  <c r="T50" i="45"/>
  <c r="T49" i="45"/>
  <c r="T48" i="45"/>
  <c r="T47" i="45"/>
  <c r="T46" i="45"/>
  <c r="T45" i="45"/>
  <c r="T44" i="45"/>
  <c r="T43" i="45"/>
  <c r="T42" i="45"/>
  <c r="T41" i="45"/>
  <c r="T40" i="45"/>
  <c r="T39" i="45"/>
  <c r="T38" i="45"/>
  <c r="T37" i="45"/>
  <c r="T36" i="45"/>
  <c r="T35" i="45"/>
  <c r="T34" i="45"/>
  <c r="T33" i="45"/>
  <c r="T32" i="45"/>
  <c r="T31" i="45"/>
  <c r="T30" i="45"/>
  <c r="T29" i="45"/>
  <c r="T28" i="45"/>
  <c r="T27" i="45"/>
  <c r="T26" i="45"/>
  <c r="T25" i="45"/>
  <c r="T24" i="45"/>
  <c r="T23" i="45"/>
  <c r="T22" i="45"/>
  <c r="T21" i="45"/>
  <c r="T20" i="45"/>
  <c r="T19" i="45"/>
  <c r="T18" i="45"/>
  <c r="T17" i="45"/>
  <c r="U17" i="45"/>
  <c r="V17" i="45"/>
  <c r="W17" i="45"/>
  <c r="X17" i="45"/>
  <c r="Y17" i="45"/>
  <c r="Z17" i="45"/>
  <c r="AA17" i="45"/>
  <c r="AB17" i="45"/>
  <c r="AC17" i="45"/>
  <c r="AD17" i="45"/>
  <c r="AE17" i="45"/>
  <c r="AF17" i="45"/>
  <c r="AG17" i="45"/>
  <c r="D18" i="45"/>
  <c r="O18" i="45"/>
  <c r="P18" i="45"/>
  <c r="Q18" i="45"/>
  <c r="U18" i="45"/>
  <c r="V18" i="45"/>
  <c r="W18" i="45"/>
  <c r="X18" i="45"/>
  <c r="Y18" i="45"/>
  <c r="Z18" i="45"/>
  <c r="AA18" i="45"/>
  <c r="AB18" i="45"/>
  <c r="AC18" i="45"/>
  <c r="AD18" i="45"/>
  <c r="AE18" i="45"/>
  <c r="AF18" i="45"/>
  <c r="AG18" i="45"/>
  <c r="D19" i="45"/>
  <c r="O19" i="45"/>
  <c r="P19" i="45"/>
  <c r="Q19" i="45"/>
  <c r="U19" i="45"/>
  <c r="V19" i="45"/>
  <c r="W19" i="45"/>
  <c r="X19" i="45"/>
  <c r="Y19" i="45"/>
  <c r="Z19" i="45"/>
  <c r="AA19" i="45"/>
  <c r="AB19" i="45"/>
  <c r="AC19" i="45"/>
  <c r="AD19" i="45"/>
  <c r="AE19" i="45"/>
  <c r="AF19" i="45"/>
  <c r="AG19" i="45"/>
  <c r="D20" i="45"/>
  <c r="O20" i="45"/>
  <c r="P20" i="45"/>
  <c r="Q20" i="45"/>
  <c r="U20" i="45"/>
  <c r="V20" i="45"/>
  <c r="W20" i="45"/>
  <c r="X20" i="45"/>
  <c r="Y20" i="45"/>
  <c r="Z20" i="45"/>
  <c r="AA20" i="45"/>
  <c r="AB20" i="45"/>
  <c r="AC20" i="45"/>
  <c r="AD20" i="45"/>
  <c r="AE20" i="45"/>
  <c r="AF20" i="45"/>
  <c r="AG20" i="45"/>
  <c r="D21" i="45"/>
  <c r="O21" i="45"/>
  <c r="P21" i="45"/>
  <c r="Q21" i="45"/>
  <c r="U21" i="45"/>
  <c r="V21" i="45"/>
  <c r="W21" i="45"/>
  <c r="X21" i="45"/>
  <c r="Y21" i="45"/>
  <c r="Z21" i="45"/>
  <c r="AA21" i="45"/>
  <c r="AB21" i="45"/>
  <c r="AC21" i="45"/>
  <c r="AD21" i="45"/>
  <c r="AE21" i="45"/>
  <c r="AF21" i="45"/>
  <c r="AG21" i="45"/>
  <c r="D22" i="45"/>
  <c r="O22" i="45"/>
  <c r="P22" i="45"/>
  <c r="Q22" i="45"/>
  <c r="U22" i="45"/>
  <c r="V22" i="45"/>
  <c r="W22" i="45"/>
  <c r="X22" i="45"/>
  <c r="Y22" i="45"/>
  <c r="Z22" i="45"/>
  <c r="AA22" i="45"/>
  <c r="AB22" i="45"/>
  <c r="AC22" i="45"/>
  <c r="AD22" i="45"/>
  <c r="AE22" i="45"/>
  <c r="AF22" i="45"/>
  <c r="AG22" i="45"/>
  <c r="D23" i="45"/>
  <c r="O23" i="45"/>
  <c r="P23" i="45"/>
  <c r="Q23" i="45"/>
  <c r="U23" i="45"/>
  <c r="V23" i="45"/>
  <c r="W23" i="45"/>
  <c r="X23" i="45"/>
  <c r="Y23" i="45"/>
  <c r="Z23" i="45"/>
  <c r="AA23" i="45"/>
  <c r="AB23" i="45"/>
  <c r="AC23" i="45"/>
  <c r="AD23" i="45"/>
  <c r="AE23" i="45"/>
  <c r="AF23" i="45"/>
  <c r="AG23" i="45"/>
  <c r="D24" i="45"/>
  <c r="O24" i="45"/>
  <c r="P24" i="45"/>
  <c r="Q24" i="45"/>
  <c r="U24" i="45"/>
  <c r="V24" i="45"/>
  <c r="W24" i="45"/>
  <c r="X24" i="45"/>
  <c r="Y24" i="45"/>
  <c r="Z24" i="45"/>
  <c r="AA24" i="45"/>
  <c r="AB24" i="45"/>
  <c r="AC24" i="45"/>
  <c r="AD24" i="45"/>
  <c r="AE24" i="45"/>
  <c r="AF24" i="45"/>
  <c r="AG24" i="45"/>
  <c r="D25" i="45"/>
  <c r="O25" i="45"/>
  <c r="P25" i="45"/>
  <c r="Q25" i="45"/>
  <c r="U25" i="45"/>
  <c r="V25" i="45"/>
  <c r="W25" i="45"/>
  <c r="X25" i="45"/>
  <c r="Y25" i="45"/>
  <c r="Z25" i="45"/>
  <c r="AA25" i="45"/>
  <c r="AB25" i="45"/>
  <c r="AC25" i="45"/>
  <c r="AD25" i="45"/>
  <c r="AE25" i="45"/>
  <c r="AF25" i="45"/>
  <c r="AG25" i="45"/>
  <c r="D26" i="45"/>
  <c r="O26" i="45"/>
  <c r="P26" i="45"/>
  <c r="Q26" i="45"/>
  <c r="U26" i="45"/>
  <c r="V26" i="45"/>
  <c r="W26" i="45"/>
  <c r="X26" i="45"/>
  <c r="Y26" i="45"/>
  <c r="Z26" i="45"/>
  <c r="AA26" i="45"/>
  <c r="AB26" i="45"/>
  <c r="AC26" i="45"/>
  <c r="AD26" i="45"/>
  <c r="AE26" i="45"/>
  <c r="AF26" i="45"/>
  <c r="AG26" i="45"/>
  <c r="D27" i="45"/>
  <c r="O27" i="45"/>
  <c r="P27" i="45"/>
  <c r="Q27" i="45"/>
  <c r="U27" i="45"/>
  <c r="V27" i="45"/>
  <c r="W27" i="45"/>
  <c r="X27" i="45"/>
  <c r="Y27" i="45"/>
  <c r="Z27" i="45"/>
  <c r="AA27" i="45"/>
  <c r="AB27" i="45"/>
  <c r="AC27" i="45"/>
  <c r="AD27" i="45"/>
  <c r="AE27" i="45"/>
  <c r="AF27" i="45"/>
  <c r="AG27" i="45"/>
  <c r="D28" i="45"/>
  <c r="O28" i="45"/>
  <c r="P28" i="45"/>
  <c r="Q28" i="45"/>
  <c r="U28" i="45"/>
  <c r="V28" i="45"/>
  <c r="W28" i="45"/>
  <c r="X28" i="45"/>
  <c r="Y28" i="45"/>
  <c r="Z28" i="45"/>
  <c r="AA28" i="45"/>
  <c r="AB28" i="45"/>
  <c r="AC28" i="45"/>
  <c r="AD28" i="45"/>
  <c r="AE28" i="45"/>
  <c r="AF28" i="45"/>
  <c r="AG28" i="45"/>
  <c r="D29" i="45"/>
  <c r="O29" i="45"/>
  <c r="P29" i="45"/>
  <c r="Q29" i="45"/>
  <c r="U29" i="45"/>
  <c r="V29" i="45"/>
  <c r="W29" i="45"/>
  <c r="X29" i="45"/>
  <c r="Y29" i="45"/>
  <c r="Z29" i="45"/>
  <c r="AA29" i="45"/>
  <c r="AB29" i="45"/>
  <c r="AC29" i="45"/>
  <c r="AD29" i="45"/>
  <c r="AE29" i="45"/>
  <c r="AF29" i="45"/>
  <c r="AG29" i="45"/>
  <c r="D30" i="45"/>
  <c r="O30" i="45"/>
  <c r="P30" i="45"/>
  <c r="Q30" i="45"/>
  <c r="U30" i="45"/>
  <c r="V30" i="45"/>
  <c r="W30" i="45"/>
  <c r="X30" i="45"/>
  <c r="Y30" i="45"/>
  <c r="Z30" i="45"/>
  <c r="AA30" i="45"/>
  <c r="AB30" i="45"/>
  <c r="AC30" i="45"/>
  <c r="AD30" i="45"/>
  <c r="AE30" i="45"/>
  <c r="AF30" i="45"/>
  <c r="AG30" i="45"/>
  <c r="D31" i="45"/>
  <c r="O31" i="45"/>
  <c r="P31" i="45"/>
  <c r="Q31" i="45"/>
  <c r="U31" i="45"/>
  <c r="V31" i="45"/>
  <c r="W31" i="45"/>
  <c r="X31" i="45"/>
  <c r="Y31" i="45"/>
  <c r="Z31" i="45"/>
  <c r="AA31" i="45"/>
  <c r="AB31" i="45"/>
  <c r="AC31" i="45"/>
  <c r="AD31" i="45"/>
  <c r="AE31" i="45"/>
  <c r="AF31" i="45"/>
  <c r="AG31" i="45"/>
  <c r="D32" i="45"/>
  <c r="O32" i="45"/>
  <c r="P32" i="45"/>
  <c r="Q32" i="45"/>
  <c r="U32" i="45"/>
  <c r="V32" i="45"/>
  <c r="W32" i="45"/>
  <c r="X32" i="45"/>
  <c r="Y32" i="45"/>
  <c r="Z32" i="45"/>
  <c r="AA32" i="45"/>
  <c r="AB32" i="45"/>
  <c r="AC32" i="45"/>
  <c r="AD32" i="45"/>
  <c r="AE32" i="45"/>
  <c r="AF32" i="45"/>
  <c r="AG32" i="45"/>
  <c r="D33" i="45"/>
  <c r="O33" i="45"/>
  <c r="P33" i="45"/>
  <c r="Q33" i="45"/>
  <c r="U33" i="45"/>
  <c r="V33" i="45"/>
  <c r="W33" i="45"/>
  <c r="X33" i="45"/>
  <c r="Y33" i="45"/>
  <c r="Z33" i="45"/>
  <c r="AA33" i="45"/>
  <c r="AB33" i="45"/>
  <c r="AC33" i="45"/>
  <c r="AD33" i="45"/>
  <c r="AE33" i="45"/>
  <c r="AF33" i="45"/>
  <c r="AG33" i="45"/>
  <c r="D34" i="45"/>
  <c r="O34" i="45"/>
  <c r="P34" i="45"/>
  <c r="Q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D35" i="45"/>
  <c r="O35" i="45"/>
  <c r="P35" i="45"/>
  <c r="Q35" i="45"/>
  <c r="U35" i="45"/>
  <c r="V35" i="45"/>
  <c r="W35" i="45"/>
  <c r="X35" i="45"/>
  <c r="Y35" i="45"/>
  <c r="Z35" i="45"/>
  <c r="AA35" i="45"/>
  <c r="AB35" i="45"/>
  <c r="AC35" i="45"/>
  <c r="AD35" i="45"/>
  <c r="AE35" i="45"/>
  <c r="AF35" i="45"/>
  <c r="AG35" i="45"/>
  <c r="D36" i="45"/>
  <c r="O36" i="45"/>
  <c r="P36" i="45"/>
  <c r="Q36" i="45"/>
  <c r="U36" i="45"/>
  <c r="V36" i="45"/>
  <c r="W36" i="45"/>
  <c r="X36" i="45"/>
  <c r="Y36" i="45"/>
  <c r="Z36" i="45"/>
  <c r="AA36" i="45"/>
  <c r="AB36" i="45"/>
  <c r="AC36" i="45"/>
  <c r="AD36" i="45"/>
  <c r="AE36" i="45"/>
  <c r="AF36" i="45"/>
  <c r="AG36" i="45"/>
  <c r="D37" i="45"/>
  <c r="O37" i="45"/>
  <c r="P37" i="45"/>
  <c r="Q37" i="45"/>
  <c r="U37" i="45"/>
  <c r="V37" i="45"/>
  <c r="W37" i="45"/>
  <c r="X37" i="45"/>
  <c r="Y37" i="45"/>
  <c r="Z37" i="45"/>
  <c r="AA37" i="45"/>
  <c r="AB37" i="45"/>
  <c r="AC37" i="45"/>
  <c r="AD37" i="45"/>
  <c r="AE37" i="45"/>
  <c r="AF37" i="45"/>
  <c r="AG37" i="45"/>
  <c r="D38" i="45"/>
  <c r="O38" i="45"/>
  <c r="P38" i="45"/>
  <c r="Q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D39" i="45"/>
  <c r="O39" i="45"/>
  <c r="P39" i="45"/>
  <c r="Q39" i="45"/>
  <c r="U39" i="45"/>
  <c r="V39" i="45"/>
  <c r="W39" i="45"/>
  <c r="X39" i="45"/>
  <c r="Y39" i="45"/>
  <c r="Z39" i="45"/>
  <c r="AA39" i="45"/>
  <c r="AB39" i="45"/>
  <c r="AC39" i="45"/>
  <c r="AD39" i="45"/>
  <c r="AE39" i="45"/>
  <c r="AF39" i="45"/>
  <c r="AG39" i="45"/>
  <c r="D40" i="45"/>
  <c r="O40" i="45"/>
  <c r="P40" i="45"/>
  <c r="Q40" i="45"/>
  <c r="U40" i="45"/>
  <c r="V40" i="45"/>
  <c r="W40" i="45"/>
  <c r="X40" i="45"/>
  <c r="Y40" i="45"/>
  <c r="Z40" i="45"/>
  <c r="AA40" i="45"/>
  <c r="AB40" i="45"/>
  <c r="AC40" i="45"/>
  <c r="AD40" i="45"/>
  <c r="AE40" i="45"/>
  <c r="AF40" i="45"/>
  <c r="AG40" i="45"/>
  <c r="D41" i="45"/>
  <c r="O41" i="45"/>
  <c r="P41" i="45"/>
  <c r="Q41" i="45"/>
  <c r="U41" i="45"/>
  <c r="V41" i="45"/>
  <c r="W41" i="45"/>
  <c r="X41" i="45"/>
  <c r="Y41" i="45"/>
  <c r="Z41" i="45"/>
  <c r="AA41" i="45"/>
  <c r="AB41" i="45"/>
  <c r="AC41" i="45"/>
  <c r="AD41" i="45"/>
  <c r="AE41" i="45"/>
  <c r="AF41" i="45"/>
  <c r="AG41" i="45"/>
  <c r="D42" i="45"/>
  <c r="O42" i="45"/>
  <c r="P42" i="45"/>
  <c r="Q42" i="45"/>
  <c r="U42" i="45"/>
  <c r="V42" i="45"/>
  <c r="W42" i="45"/>
  <c r="X42" i="45"/>
  <c r="Y42" i="45"/>
  <c r="Z42" i="45"/>
  <c r="AA42" i="45"/>
  <c r="AB42" i="45"/>
  <c r="AC42" i="45"/>
  <c r="AD42" i="45"/>
  <c r="AE42" i="45"/>
  <c r="AF42" i="45"/>
  <c r="AG42" i="45"/>
  <c r="D43" i="45"/>
  <c r="O43" i="45"/>
  <c r="P43" i="45"/>
  <c r="Q43" i="45"/>
  <c r="U43" i="45"/>
  <c r="V43" i="45"/>
  <c r="W43" i="45"/>
  <c r="X43" i="45"/>
  <c r="Y43" i="45"/>
  <c r="Z43" i="45"/>
  <c r="AA43" i="45"/>
  <c r="AB43" i="45"/>
  <c r="AC43" i="45"/>
  <c r="AD43" i="45"/>
  <c r="AE43" i="45"/>
  <c r="AF43" i="45"/>
  <c r="AG43" i="45"/>
  <c r="D44" i="45"/>
  <c r="O44" i="45"/>
  <c r="P44" i="45"/>
  <c r="Q44" i="45"/>
  <c r="U44" i="45"/>
  <c r="V44" i="45"/>
  <c r="W44" i="45"/>
  <c r="X44" i="45"/>
  <c r="Y44" i="45"/>
  <c r="Z44" i="45"/>
  <c r="AA44" i="45"/>
  <c r="AB44" i="45"/>
  <c r="AC44" i="45"/>
  <c r="AD44" i="45"/>
  <c r="AE44" i="45"/>
  <c r="AF44" i="45"/>
  <c r="AG44" i="45"/>
  <c r="D45" i="45"/>
  <c r="O45" i="45"/>
  <c r="P45" i="45"/>
  <c r="Q45" i="45"/>
  <c r="U45" i="45"/>
  <c r="V45" i="45"/>
  <c r="W45" i="45"/>
  <c r="X45" i="45"/>
  <c r="Y45" i="45"/>
  <c r="Z45" i="45"/>
  <c r="AA45" i="45"/>
  <c r="AB45" i="45"/>
  <c r="AC45" i="45"/>
  <c r="AD45" i="45"/>
  <c r="AE45" i="45"/>
  <c r="AF45" i="45"/>
  <c r="AG45" i="45"/>
  <c r="D46" i="45"/>
  <c r="O46" i="45"/>
  <c r="P46" i="45"/>
  <c r="Q46" i="45"/>
  <c r="U46" i="45"/>
  <c r="V46" i="45"/>
  <c r="W46" i="45"/>
  <c r="X46" i="45"/>
  <c r="Y46" i="45"/>
  <c r="Z46" i="45"/>
  <c r="AA46" i="45"/>
  <c r="AB46" i="45"/>
  <c r="AC46" i="45"/>
  <c r="AD46" i="45"/>
  <c r="AE46" i="45"/>
  <c r="AF46" i="45"/>
  <c r="AG46" i="45"/>
  <c r="D47" i="45"/>
  <c r="O47" i="45"/>
  <c r="P47" i="45"/>
  <c r="Q47" i="45"/>
  <c r="U47" i="45"/>
  <c r="V47" i="45"/>
  <c r="W47" i="45"/>
  <c r="X47" i="45"/>
  <c r="Y47" i="45"/>
  <c r="Z47" i="45"/>
  <c r="AA47" i="45"/>
  <c r="AB47" i="45"/>
  <c r="AC47" i="45"/>
  <c r="AD47" i="45"/>
  <c r="AE47" i="45"/>
  <c r="AF47" i="45"/>
  <c r="AG47" i="45"/>
  <c r="D48" i="45"/>
  <c r="O48" i="45"/>
  <c r="P48" i="45"/>
  <c r="Q48" i="45"/>
  <c r="U48" i="45"/>
  <c r="V48" i="45"/>
  <c r="W48" i="45"/>
  <c r="X48" i="45"/>
  <c r="Y48" i="45"/>
  <c r="Z48" i="45"/>
  <c r="AA48" i="45"/>
  <c r="AB48" i="45"/>
  <c r="AC48" i="45"/>
  <c r="AD48" i="45"/>
  <c r="AE48" i="45"/>
  <c r="AF48" i="45"/>
  <c r="AG48" i="45"/>
  <c r="D49" i="45"/>
  <c r="O49" i="45"/>
  <c r="P49" i="45"/>
  <c r="Q49" i="45"/>
  <c r="U49" i="45"/>
  <c r="V49" i="45"/>
  <c r="W49" i="45"/>
  <c r="X49" i="45"/>
  <c r="Y49" i="45"/>
  <c r="Z49" i="45"/>
  <c r="AA49" i="45"/>
  <c r="AB49" i="45"/>
  <c r="AC49" i="45"/>
  <c r="AD49" i="45"/>
  <c r="AE49" i="45"/>
  <c r="AF49" i="45"/>
  <c r="AG49" i="45"/>
  <c r="D50" i="45"/>
  <c r="O50" i="45"/>
  <c r="P50" i="45"/>
  <c r="Q50" i="45"/>
  <c r="U50" i="45"/>
  <c r="V50" i="45"/>
  <c r="W50" i="45"/>
  <c r="X50" i="45"/>
  <c r="Y50" i="45"/>
  <c r="Z50" i="45"/>
  <c r="AA50" i="45"/>
  <c r="AB50" i="45"/>
  <c r="AC50" i="45"/>
  <c r="AD50" i="45"/>
  <c r="AE50" i="45"/>
  <c r="AF50" i="45"/>
  <c r="AG50" i="45"/>
  <c r="D51" i="45"/>
  <c r="O51" i="45"/>
  <c r="P51" i="45"/>
  <c r="Q51" i="45"/>
  <c r="U51" i="45"/>
  <c r="V51" i="45"/>
  <c r="W51" i="45"/>
  <c r="X51" i="45"/>
  <c r="Y51" i="45"/>
  <c r="Z51" i="45"/>
  <c r="AA51" i="45"/>
  <c r="AB51" i="45"/>
  <c r="AC51" i="45"/>
  <c r="AD51" i="45"/>
  <c r="AE51" i="45"/>
  <c r="AF51" i="45"/>
  <c r="AG51" i="45"/>
  <c r="D52" i="45"/>
  <c r="O52" i="45"/>
  <c r="P52" i="45"/>
  <c r="Q52" i="45"/>
  <c r="U52" i="45"/>
  <c r="V52" i="45"/>
  <c r="W52" i="45"/>
  <c r="X52" i="45"/>
  <c r="Y52" i="45"/>
  <c r="Z52" i="45"/>
  <c r="AA52" i="45"/>
  <c r="AB52" i="45"/>
  <c r="AC52" i="45"/>
  <c r="AD52" i="45"/>
  <c r="AE52" i="45"/>
  <c r="AF52" i="45"/>
  <c r="AG52" i="45"/>
  <c r="D53" i="45"/>
  <c r="O53" i="45"/>
  <c r="P53" i="45"/>
  <c r="Q53" i="45"/>
  <c r="U53" i="45"/>
  <c r="V53" i="45"/>
  <c r="W53" i="45"/>
  <c r="X53" i="45"/>
  <c r="Y53" i="45"/>
  <c r="Z53" i="45"/>
  <c r="AA53" i="45"/>
  <c r="AB53" i="45"/>
  <c r="AC53" i="45"/>
  <c r="AD53" i="45"/>
  <c r="AE53" i="45"/>
  <c r="AF53" i="45"/>
  <c r="AG53" i="45"/>
  <c r="D54" i="45"/>
  <c r="O54" i="45"/>
  <c r="P54" i="45"/>
  <c r="Q54" i="45"/>
  <c r="U54" i="45"/>
  <c r="V54" i="45"/>
  <c r="W54" i="45"/>
  <c r="X54" i="45"/>
  <c r="Y54" i="45"/>
  <c r="Z54" i="45"/>
  <c r="AA54" i="45"/>
  <c r="AB54" i="45"/>
  <c r="AC54" i="45"/>
  <c r="AD54" i="45"/>
  <c r="AE54" i="45"/>
  <c r="AF54" i="45"/>
  <c r="AG54" i="45"/>
  <c r="D55" i="45"/>
  <c r="O55" i="45"/>
  <c r="P55" i="45"/>
  <c r="Q55" i="45"/>
  <c r="U55" i="45"/>
  <c r="V55" i="45"/>
  <c r="W55" i="45"/>
  <c r="X55" i="45"/>
  <c r="Y55" i="45"/>
  <c r="Z55" i="45"/>
  <c r="AA55" i="45"/>
  <c r="AB55" i="45"/>
  <c r="AC55" i="45"/>
  <c r="AD55" i="45"/>
  <c r="AE55" i="45"/>
  <c r="AF55" i="45"/>
  <c r="AG55" i="45"/>
  <c r="D56" i="45"/>
  <c r="O56" i="45"/>
  <c r="P56" i="45"/>
  <c r="Q56" i="45"/>
  <c r="U56" i="45"/>
  <c r="V56" i="45"/>
  <c r="W56" i="45"/>
  <c r="X56" i="45"/>
  <c r="Y56" i="45"/>
  <c r="Z56" i="45"/>
  <c r="AA56" i="45"/>
  <c r="AB56" i="45"/>
  <c r="AC56" i="45"/>
  <c r="AD56" i="45"/>
  <c r="AE56" i="45"/>
  <c r="AF56" i="45"/>
  <c r="AG56" i="45"/>
  <c r="D57" i="45"/>
  <c r="O57" i="45"/>
  <c r="P57" i="45"/>
  <c r="Q57" i="45"/>
  <c r="U57" i="45"/>
  <c r="V57" i="45"/>
  <c r="W57" i="45"/>
  <c r="X57" i="45"/>
  <c r="Y57" i="45"/>
  <c r="Z57" i="45"/>
  <c r="AA57" i="45"/>
  <c r="AB57" i="45"/>
  <c r="AC57" i="45"/>
  <c r="AD57" i="45"/>
  <c r="AE57" i="45"/>
  <c r="AF57" i="45"/>
  <c r="AG57" i="45"/>
  <c r="D58" i="45"/>
  <c r="O58" i="45"/>
  <c r="P58" i="45"/>
  <c r="Q58" i="45"/>
  <c r="U58" i="45"/>
  <c r="V58" i="45"/>
  <c r="W58" i="45"/>
  <c r="X58" i="45"/>
  <c r="Y58" i="45"/>
  <c r="Z58" i="45"/>
  <c r="AA58" i="45"/>
  <c r="AB58" i="45"/>
  <c r="AC58" i="45"/>
  <c r="AD58" i="45"/>
  <c r="AE58" i="45"/>
  <c r="AF58" i="45"/>
  <c r="AG58" i="45"/>
  <c r="D59" i="45"/>
  <c r="O59" i="45"/>
  <c r="P59" i="45"/>
  <c r="Q59" i="45"/>
  <c r="U59" i="45"/>
  <c r="V59" i="45"/>
  <c r="W59" i="45"/>
  <c r="X59" i="45"/>
  <c r="Y59" i="45"/>
  <c r="Z59" i="45"/>
  <c r="AA59" i="45"/>
  <c r="AB59" i="45"/>
  <c r="AC59" i="45"/>
  <c r="AD59" i="45"/>
  <c r="AE59" i="45"/>
  <c r="AF59" i="45"/>
  <c r="AG59" i="45"/>
  <c r="D60" i="45"/>
  <c r="O60" i="45"/>
  <c r="P60" i="45"/>
  <c r="Q60" i="45"/>
  <c r="U60" i="45"/>
  <c r="V60" i="45"/>
  <c r="W60" i="45"/>
  <c r="X60" i="45"/>
  <c r="Y60" i="45"/>
  <c r="Z60" i="45"/>
  <c r="AA60" i="45"/>
  <c r="AB60" i="45"/>
  <c r="AC60" i="45"/>
  <c r="AD60" i="45"/>
  <c r="AE60" i="45"/>
  <c r="AF60" i="45"/>
  <c r="AG60" i="45"/>
  <c r="D61" i="45"/>
  <c r="O61" i="45"/>
  <c r="P61" i="45"/>
  <c r="Q61" i="45"/>
  <c r="U61" i="45"/>
  <c r="V61" i="45"/>
  <c r="W61" i="45"/>
  <c r="X61" i="45"/>
  <c r="Y61" i="45"/>
  <c r="Z61" i="45"/>
  <c r="AA61" i="45"/>
  <c r="AB61" i="45"/>
  <c r="AC61" i="45"/>
  <c r="AD61" i="45"/>
  <c r="AE61" i="45"/>
  <c r="AF61" i="45"/>
  <c r="AG61" i="45"/>
  <c r="D62" i="45"/>
  <c r="O62" i="45"/>
  <c r="P62" i="45"/>
  <c r="Q62" i="45"/>
  <c r="U62" i="45"/>
  <c r="V62" i="45"/>
  <c r="W62" i="45"/>
  <c r="X62" i="45"/>
  <c r="Y62" i="45"/>
  <c r="Z62" i="45"/>
  <c r="AA62" i="45"/>
  <c r="AB62" i="45"/>
  <c r="AC62" i="45"/>
  <c r="AD62" i="45"/>
  <c r="AE62" i="45"/>
  <c r="AF62" i="45"/>
  <c r="AG62" i="45"/>
  <c r="D63" i="45"/>
  <c r="O63" i="45"/>
  <c r="P63" i="45"/>
  <c r="Q63" i="45"/>
  <c r="U63" i="45"/>
  <c r="V63" i="45"/>
  <c r="W63" i="45"/>
  <c r="X63" i="45"/>
  <c r="Y63" i="45"/>
  <c r="Z63" i="45"/>
  <c r="AA63" i="45"/>
  <c r="AB63" i="45"/>
  <c r="AC63" i="45"/>
  <c r="AD63" i="45"/>
  <c r="AE63" i="45"/>
  <c r="AF63" i="45"/>
  <c r="AG63" i="45"/>
  <c r="D64" i="45"/>
  <c r="O64" i="45"/>
  <c r="P64" i="45"/>
  <c r="Q64" i="45"/>
  <c r="U64" i="45"/>
  <c r="V64" i="45"/>
  <c r="W64" i="45"/>
  <c r="X64" i="45"/>
  <c r="Y64" i="45"/>
  <c r="Z64" i="45"/>
  <c r="AA64" i="45"/>
  <c r="AB64" i="45"/>
  <c r="AC64" i="45"/>
  <c r="AD64" i="45"/>
  <c r="AE64" i="45"/>
  <c r="AF64" i="45"/>
  <c r="AG64" i="45"/>
  <c r="D65" i="45"/>
  <c r="O65" i="45"/>
  <c r="P65" i="45"/>
  <c r="Q65" i="45"/>
  <c r="U65" i="45"/>
  <c r="V65" i="45"/>
  <c r="W65" i="45"/>
  <c r="X65" i="45"/>
  <c r="Y65" i="45"/>
  <c r="Z65" i="45"/>
  <c r="AA65" i="45"/>
  <c r="AB65" i="45"/>
  <c r="AC65" i="45"/>
  <c r="AD65" i="45"/>
  <c r="AE65" i="45"/>
  <c r="AF65" i="45"/>
  <c r="AG65" i="45"/>
  <c r="D66" i="45"/>
  <c r="O66" i="45"/>
  <c r="P66" i="45"/>
  <c r="Q66" i="45"/>
  <c r="U66" i="45"/>
  <c r="V66" i="45"/>
  <c r="W66" i="45"/>
  <c r="X66" i="45"/>
  <c r="Y66" i="45"/>
  <c r="Z66" i="45"/>
  <c r="AA66" i="45"/>
  <c r="AB66" i="45"/>
  <c r="AC66" i="45"/>
  <c r="AD66" i="45"/>
  <c r="AE66" i="45"/>
  <c r="AF66" i="45"/>
  <c r="AG66" i="45"/>
  <c r="D67" i="45"/>
  <c r="O67" i="45"/>
  <c r="P67" i="45"/>
  <c r="Q67" i="45"/>
  <c r="U67" i="45"/>
  <c r="V67" i="45"/>
  <c r="W67" i="45"/>
  <c r="X67" i="45"/>
  <c r="Y67" i="45"/>
  <c r="Z67" i="45"/>
  <c r="AA67" i="45"/>
  <c r="AB67" i="45"/>
  <c r="AC67" i="45"/>
  <c r="AD67" i="45"/>
  <c r="AE67" i="45"/>
  <c r="AF67" i="45"/>
  <c r="AG67" i="45"/>
  <c r="D68" i="45"/>
  <c r="O68" i="45"/>
  <c r="P68" i="45"/>
  <c r="Q68" i="45"/>
  <c r="U68" i="45"/>
  <c r="V68" i="45"/>
  <c r="W68" i="45"/>
  <c r="X68" i="45"/>
  <c r="Y68" i="45"/>
  <c r="Z68" i="45"/>
  <c r="AA68" i="45"/>
  <c r="AB68" i="45"/>
  <c r="AC68" i="45"/>
  <c r="AD68" i="45"/>
  <c r="AE68" i="45"/>
  <c r="AF68" i="45"/>
  <c r="AG68" i="45"/>
  <c r="D69" i="45"/>
  <c r="O69" i="45"/>
  <c r="P69" i="45"/>
  <c r="Q69" i="45"/>
  <c r="U69" i="45"/>
  <c r="V69" i="45"/>
  <c r="W69" i="45"/>
  <c r="X69" i="45"/>
  <c r="Y69" i="45"/>
  <c r="Z69" i="45"/>
  <c r="AA69" i="45"/>
  <c r="AB69" i="45"/>
  <c r="AC69" i="45"/>
  <c r="AD69" i="45"/>
  <c r="AE69" i="45"/>
  <c r="AF69" i="45"/>
  <c r="AG69" i="45"/>
  <c r="D70" i="45"/>
  <c r="O70" i="45"/>
  <c r="P70" i="45"/>
  <c r="Q70" i="45"/>
  <c r="U70" i="45"/>
  <c r="V70" i="45"/>
  <c r="W70" i="45"/>
  <c r="X70" i="45"/>
  <c r="Y70" i="45"/>
  <c r="Z70" i="45"/>
  <c r="AA70" i="45"/>
  <c r="AB70" i="45"/>
  <c r="AC70" i="45"/>
  <c r="AD70" i="45"/>
  <c r="AE70" i="45"/>
  <c r="AF70" i="45"/>
  <c r="AG70" i="45"/>
  <c r="D71" i="45"/>
  <c r="O71" i="45"/>
  <c r="P71" i="45"/>
  <c r="Q71" i="45"/>
  <c r="U71" i="45"/>
  <c r="V71" i="45"/>
  <c r="W71" i="45"/>
  <c r="X71" i="45"/>
  <c r="Y71" i="45"/>
  <c r="Z71" i="45"/>
  <c r="AA71" i="45"/>
  <c r="AB71" i="45"/>
  <c r="AC71" i="45"/>
  <c r="AD71" i="45"/>
  <c r="AE71" i="45"/>
  <c r="AF71" i="45"/>
  <c r="AG71" i="45"/>
  <c r="D72" i="45"/>
  <c r="O72" i="45"/>
  <c r="P72" i="45"/>
  <c r="Q72" i="45"/>
  <c r="U72" i="45"/>
  <c r="V72" i="45"/>
  <c r="W72" i="45"/>
  <c r="X72" i="45"/>
  <c r="Y72" i="45"/>
  <c r="Z72" i="45"/>
  <c r="AA72" i="45"/>
  <c r="AB72" i="45"/>
  <c r="AC72" i="45"/>
  <c r="AD72" i="45"/>
  <c r="AE72" i="45"/>
  <c r="AF72" i="45"/>
  <c r="AG72" i="45"/>
  <c r="D73" i="45"/>
  <c r="O73" i="45"/>
  <c r="P73" i="45"/>
  <c r="Q73" i="45"/>
  <c r="U73" i="45"/>
  <c r="V73" i="45"/>
  <c r="W73" i="45"/>
  <c r="X73" i="45"/>
  <c r="Y73" i="45"/>
  <c r="Z73" i="45"/>
  <c r="AA73" i="45"/>
  <c r="AB73" i="45"/>
  <c r="AC73" i="45"/>
  <c r="AD73" i="45"/>
  <c r="AE73" i="45"/>
  <c r="AF73" i="45"/>
  <c r="AG73" i="45"/>
  <c r="D74" i="45"/>
  <c r="O74" i="45"/>
  <c r="P74" i="45"/>
  <c r="Q74" i="45"/>
  <c r="U74" i="45"/>
  <c r="V74" i="45"/>
  <c r="W74" i="45"/>
  <c r="X74" i="45"/>
  <c r="Y74" i="45"/>
  <c r="Z74" i="45"/>
  <c r="AA74" i="45"/>
  <c r="AB74" i="45"/>
  <c r="AC74" i="45"/>
  <c r="AD74" i="45"/>
  <c r="AE74" i="45"/>
  <c r="AF74" i="45"/>
  <c r="AG74" i="45"/>
  <c r="D75" i="45"/>
  <c r="O75" i="45"/>
  <c r="P75" i="45"/>
  <c r="Q75" i="45"/>
  <c r="U75" i="45"/>
  <c r="V75" i="45"/>
  <c r="W75" i="45"/>
  <c r="X75" i="45"/>
  <c r="Y75" i="45"/>
  <c r="Z75" i="45"/>
  <c r="AA75" i="45"/>
  <c r="AB75" i="45"/>
  <c r="AC75" i="45"/>
  <c r="AD75" i="45"/>
  <c r="AE75" i="45"/>
  <c r="AF75" i="45"/>
  <c r="AG75" i="45"/>
  <c r="D76" i="45"/>
  <c r="O76" i="45"/>
  <c r="P76" i="45"/>
  <c r="Q76" i="45"/>
  <c r="U76" i="45"/>
  <c r="V76" i="45"/>
  <c r="W76" i="45"/>
  <c r="X76" i="45"/>
  <c r="Y76" i="45"/>
  <c r="Z76" i="45"/>
  <c r="AA76" i="45"/>
  <c r="AB76" i="45"/>
  <c r="AC76" i="45"/>
  <c r="AD76" i="45"/>
  <c r="AE76" i="45"/>
  <c r="AF76" i="45"/>
  <c r="AG76" i="45"/>
  <c r="D77" i="45"/>
  <c r="O77" i="45"/>
  <c r="P77" i="45"/>
  <c r="Q77" i="45"/>
  <c r="U77" i="45"/>
  <c r="V77" i="45"/>
  <c r="W77" i="45"/>
  <c r="X77" i="45"/>
  <c r="Y77" i="45"/>
  <c r="Z77" i="45"/>
  <c r="AA77" i="45"/>
  <c r="AB77" i="45"/>
  <c r="AC77" i="45"/>
  <c r="AD77" i="45"/>
  <c r="AE77" i="45"/>
  <c r="AF77" i="45"/>
  <c r="AG77" i="45"/>
  <c r="D78" i="45"/>
  <c r="O78" i="45"/>
  <c r="P78" i="45"/>
  <c r="Q78" i="45"/>
  <c r="U78" i="45"/>
  <c r="V78" i="45"/>
  <c r="W78" i="45"/>
  <c r="X78" i="45"/>
  <c r="Y78" i="45"/>
  <c r="Z78" i="45"/>
  <c r="AA78" i="45"/>
  <c r="AB78" i="45"/>
  <c r="AC78" i="45"/>
  <c r="AD78" i="45"/>
  <c r="AE78" i="45"/>
  <c r="AF78" i="45"/>
  <c r="AG78" i="45"/>
  <c r="D79" i="45"/>
  <c r="O79" i="45"/>
  <c r="P79" i="45"/>
  <c r="Q79" i="45"/>
  <c r="U79" i="45"/>
  <c r="V79" i="45"/>
  <c r="W79" i="45"/>
  <c r="X79" i="45"/>
  <c r="Y79" i="45"/>
  <c r="Z79" i="45"/>
  <c r="AA79" i="45"/>
  <c r="AB79" i="45"/>
  <c r="AC79" i="45"/>
  <c r="AD79" i="45"/>
  <c r="AE79" i="45"/>
  <c r="AF79" i="45"/>
  <c r="AG79" i="45"/>
  <c r="D80" i="45"/>
  <c r="O80" i="45"/>
  <c r="P80" i="45"/>
  <c r="Q80" i="45"/>
  <c r="U80" i="45"/>
  <c r="V80" i="45"/>
  <c r="W80" i="45"/>
  <c r="X80" i="45"/>
  <c r="Y80" i="45"/>
  <c r="Z80" i="45"/>
  <c r="AA80" i="45"/>
  <c r="AB80" i="45"/>
  <c r="AC80" i="45"/>
  <c r="AD80" i="45"/>
  <c r="AE80" i="45"/>
  <c r="AF80" i="45"/>
  <c r="AG80" i="45"/>
  <c r="D81" i="45"/>
  <c r="O81" i="45"/>
  <c r="P81" i="45"/>
  <c r="Q81" i="45"/>
  <c r="U81" i="45"/>
  <c r="V81" i="45"/>
  <c r="W81" i="45"/>
  <c r="X81" i="45"/>
  <c r="Y81" i="45"/>
  <c r="Z81" i="45"/>
  <c r="AA81" i="45"/>
  <c r="AB81" i="45"/>
  <c r="AC81" i="45"/>
  <c r="AD81" i="45"/>
  <c r="AE81" i="45"/>
  <c r="AF81" i="45"/>
  <c r="AG81" i="45"/>
  <c r="D82" i="45"/>
  <c r="O82" i="45"/>
  <c r="P82" i="45"/>
  <c r="Q82" i="45"/>
  <c r="U82" i="45"/>
  <c r="V82" i="45"/>
  <c r="W82" i="45"/>
  <c r="X82" i="45"/>
  <c r="Y82" i="45"/>
  <c r="Z82" i="45"/>
  <c r="AA82" i="45"/>
  <c r="AB82" i="45"/>
  <c r="AC82" i="45"/>
  <c r="AD82" i="45"/>
  <c r="AE82" i="45"/>
  <c r="AF82" i="45"/>
  <c r="AG82" i="45"/>
  <c r="D83" i="45"/>
  <c r="O83" i="45"/>
  <c r="P83" i="45"/>
  <c r="Q83" i="45"/>
  <c r="U83" i="45"/>
  <c r="V83" i="45"/>
  <c r="W83" i="45"/>
  <c r="X83" i="45"/>
  <c r="Y83" i="45"/>
  <c r="Z83" i="45"/>
  <c r="AA83" i="45"/>
  <c r="AB83" i="45"/>
  <c r="AC83" i="45"/>
  <c r="AD83" i="45"/>
  <c r="AE83" i="45"/>
  <c r="AF83" i="45"/>
  <c r="AG83" i="45"/>
  <c r="D84" i="45"/>
  <c r="O84" i="45"/>
  <c r="P84" i="45"/>
  <c r="Q84" i="45"/>
  <c r="U84" i="45"/>
  <c r="V84" i="45"/>
  <c r="W84" i="45"/>
  <c r="X84" i="45"/>
  <c r="Y84" i="45"/>
  <c r="Z84" i="45"/>
  <c r="AA84" i="45"/>
  <c r="AB84" i="45"/>
  <c r="AC84" i="45"/>
  <c r="AD84" i="45"/>
  <c r="AE84" i="45"/>
  <c r="AF84" i="45"/>
  <c r="AG84" i="45"/>
  <c r="D85" i="45"/>
  <c r="O85" i="45"/>
  <c r="P85" i="45"/>
  <c r="Q85" i="45"/>
  <c r="U85" i="45"/>
  <c r="V85" i="45"/>
  <c r="W85" i="45"/>
  <c r="X85" i="45"/>
  <c r="Y85" i="45"/>
  <c r="Z85" i="45"/>
  <c r="AA85" i="45"/>
  <c r="AB85" i="45"/>
  <c r="AC85" i="45"/>
  <c r="AD85" i="45"/>
  <c r="AE85" i="45"/>
  <c r="AF85" i="45"/>
  <c r="AG85" i="45"/>
  <c r="D86" i="45"/>
  <c r="O86" i="45"/>
  <c r="P86" i="45"/>
  <c r="Q86" i="45"/>
  <c r="U86" i="45"/>
  <c r="V86" i="45"/>
  <c r="W86" i="45"/>
  <c r="X86" i="45"/>
  <c r="Y86" i="45"/>
  <c r="Z86" i="45"/>
  <c r="AA86" i="45"/>
  <c r="AB86" i="45"/>
  <c r="AC86" i="45"/>
  <c r="AD86" i="45"/>
  <c r="AE86" i="45"/>
  <c r="AF86" i="45"/>
  <c r="AG86" i="45"/>
  <c r="D87" i="45"/>
  <c r="O87" i="45"/>
  <c r="P87" i="45"/>
  <c r="Q87" i="45"/>
  <c r="U87" i="45"/>
  <c r="V87" i="45"/>
  <c r="W87" i="45"/>
  <c r="X87" i="45"/>
  <c r="Y87" i="45"/>
  <c r="Z87" i="45"/>
  <c r="AA87" i="45"/>
  <c r="AB87" i="45"/>
  <c r="AC87" i="45"/>
  <c r="AD87" i="45"/>
  <c r="AE87" i="45"/>
  <c r="AF87" i="45"/>
  <c r="AG87" i="45"/>
  <c r="D88" i="45"/>
  <c r="O88" i="45"/>
  <c r="P88" i="45"/>
  <c r="Q88" i="45"/>
  <c r="U88" i="45"/>
  <c r="V88" i="45"/>
  <c r="W88" i="45"/>
  <c r="X88" i="45"/>
  <c r="Y88" i="45"/>
  <c r="Z88" i="45"/>
  <c r="AA88" i="45"/>
  <c r="AB88" i="45"/>
  <c r="AC88" i="45"/>
  <c r="AD88" i="45"/>
  <c r="AE88" i="45"/>
  <c r="AF88" i="45"/>
  <c r="AG88" i="45"/>
  <c r="D89" i="45"/>
  <c r="O89" i="45"/>
  <c r="P89" i="45"/>
  <c r="Q89" i="45"/>
  <c r="U89" i="45"/>
  <c r="V89" i="45"/>
  <c r="W89" i="45"/>
  <c r="X89" i="45"/>
  <c r="Y89" i="45"/>
  <c r="Z89" i="45"/>
  <c r="AA89" i="45"/>
  <c r="AB89" i="45"/>
  <c r="AC89" i="45"/>
  <c r="AD89" i="45"/>
  <c r="AE89" i="45"/>
  <c r="AF89" i="45"/>
  <c r="AG89" i="45"/>
  <c r="D90" i="45"/>
  <c r="O90" i="45"/>
  <c r="P90" i="45"/>
  <c r="Q90" i="45"/>
  <c r="U90" i="45"/>
  <c r="V90" i="45"/>
  <c r="W90" i="45"/>
  <c r="X90" i="45"/>
  <c r="Y90" i="45"/>
  <c r="Z90" i="45"/>
  <c r="AA90" i="45"/>
  <c r="AB90" i="45"/>
  <c r="AC90" i="45"/>
  <c r="AD90" i="45"/>
  <c r="AE90" i="45"/>
  <c r="AF90" i="45"/>
  <c r="AG90" i="45"/>
  <c r="D91" i="45"/>
  <c r="O91" i="45"/>
  <c r="P91" i="45"/>
  <c r="Q91" i="45"/>
  <c r="U91" i="45"/>
  <c r="V91" i="45"/>
  <c r="W91" i="45"/>
  <c r="X91" i="45"/>
  <c r="Y91" i="45"/>
  <c r="Z91" i="45"/>
  <c r="AA91" i="45"/>
  <c r="AB91" i="45"/>
  <c r="AC91" i="45"/>
  <c r="AD91" i="45"/>
  <c r="AE91" i="45"/>
  <c r="AF91" i="45"/>
  <c r="AG91" i="45"/>
  <c r="D92" i="45"/>
  <c r="O92" i="45"/>
  <c r="P92" i="45"/>
  <c r="Q92" i="45"/>
  <c r="U92" i="45"/>
  <c r="V92" i="45"/>
  <c r="W92" i="45"/>
  <c r="X92" i="45"/>
  <c r="Y92" i="45"/>
  <c r="Z92" i="45"/>
  <c r="AA92" i="45"/>
  <c r="AB92" i="45"/>
  <c r="AC92" i="45"/>
  <c r="AD92" i="45"/>
  <c r="AE92" i="45"/>
  <c r="AF92" i="45"/>
  <c r="AG92" i="45"/>
  <c r="D93" i="45"/>
  <c r="O93" i="45"/>
  <c r="P93" i="45"/>
  <c r="Q93" i="45"/>
  <c r="U93" i="45"/>
  <c r="V93" i="45"/>
  <c r="W93" i="45"/>
  <c r="X93" i="45"/>
  <c r="Y93" i="45"/>
  <c r="Z93" i="45"/>
  <c r="AA93" i="45"/>
  <c r="AB93" i="45"/>
  <c r="AC93" i="45"/>
  <c r="AD93" i="45"/>
  <c r="AE93" i="45"/>
  <c r="AF93" i="45"/>
  <c r="AG93" i="45"/>
  <c r="D94" i="45"/>
  <c r="O94" i="45"/>
  <c r="P94" i="45"/>
  <c r="Q94" i="45"/>
  <c r="U94" i="45"/>
  <c r="V94" i="45"/>
  <c r="W94" i="45"/>
  <c r="X94" i="45"/>
  <c r="Y94" i="45"/>
  <c r="Z94" i="45"/>
  <c r="AA94" i="45"/>
  <c r="AB94" i="45"/>
  <c r="AC94" i="45"/>
  <c r="AD94" i="45"/>
  <c r="AE94" i="45"/>
  <c r="AF94" i="45"/>
  <c r="AG94" i="45"/>
  <c r="D95" i="45"/>
  <c r="O95" i="45"/>
  <c r="P95" i="45"/>
  <c r="Q95" i="45"/>
  <c r="U95" i="45"/>
  <c r="V95" i="45"/>
  <c r="W95" i="45"/>
  <c r="X95" i="45"/>
  <c r="Y95" i="45"/>
  <c r="Z95" i="45"/>
  <c r="AA95" i="45"/>
  <c r="AB95" i="45"/>
  <c r="AC95" i="45"/>
  <c r="AD95" i="45"/>
  <c r="AE95" i="45"/>
  <c r="AF95" i="45"/>
  <c r="AG95" i="45"/>
  <c r="D96" i="45"/>
  <c r="O96" i="45"/>
  <c r="P96" i="45"/>
  <c r="Q96" i="45"/>
  <c r="U96" i="45"/>
  <c r="V96" i="45"/>
  <c r="W96" i="45"/>
  <c r="X96" i="45"/>
  <c r="Y96" i="45"/>
  <c r="Z96" i="45"/>
  <c r="AA96" i="45"/>
  <c r="AB96" i="45"/>
  <c r="AC96" i="45"/>
  <c r="AD96" i="45"/>
  <c r="AE96" i="45"/>
  <c r="AF96" i="45"/>
  <c r="AG96" i="45"/>
  <c r="D97" i="45"/>
  <c r="O97" i="45"/>
  <c r="P97" i="45"/>
  <c r="Q97" i="45"/>
  <c r="U97" i="45"/>
  <c r="V97" i="45"/>
  <c r="W97" i="45"/>
  <c r="X97" i="45"/>
  <c r="Y97" i="45"/>
  <c r="Z97" i="45"/>
  <c r="AA97" i="45"/>
  <c r="AB97" i="45"/>
  <c r="AC97" i="45"/>
  <c r="AD97" i="45"/>
  <c r="AE97" i="45"/>
  <c r="AF97" i="45"/>
  <c r="AG97" i="45"/>
  <c r="D98" i="45"/>
  <c r="O98" i="45"/>
  <c r="P98" i="45"/>
  <c r="Q98" i="45"/>
  <c r="U98" i="45"/>
  <c r="V98" i="45"/>
  <c r="W98" i="45"/>
  <c r="X98" i="45"/>
  <c r="Y98" i="45"/>
  <c r="Z98" i="45"/>
  <c r="AA98" i="45"/>
  <c r="AB98" i="45"/>
  <c r="AC98" i="45"/>
  <c r="AD98" i="45"/>
  <c r="AE98" i="45"/>
  <c r="AF98" i="45"/>
  <c r="AG98" i="45"/>
  <c r="D99" i="45"/>
  <c r="O99" i="45"/>
  <c r="P99" i="45"/>
  <c r="Q99" i="45"/>
  <c r="U99" i="45"/>
  <c r="V99" i="45"/>
  <c r="W99" i="45"/>
  <c r="X99" i="45"/>
  <c r="Y99" i="45"/>
  <c r="Z99" i="45"/>
  <c r="AA99" i="45"/>
  <c r="AB99" i="45"/>
  <c r="AC99" i="45"/>
  <c r="AD99" i="45"/>
  <c r="AE99" i="45"/>
  <c r="AF99" i="45"/>
  <c r="AG99" i="45"/>
  <c r="D100" i="45"/>
  <c r="O100" i="45"/>
  <c r="P100" i="45"/>
  <c r="Q100" i="45"/>
  <c r="U100" i="45"/>
  <c r="V100" i="45"/>
  <c r="W100" i="45"/>
  <c r="X100" i="45"/>
  <c r="Y100" i="45"/>
  <c r="Z100" i="45"/>
  <c r="AA100" i="45"/>
  <c r="AB100" i="45"/>
  <c r="AC100" i="45"/>
  <c r="AD100" i="45"/>
  <c r="AE100" i="45"/>
  <c r="AF100" i="45"/>
  <c r="AG100" i="45"/>
  <c r="D101" i="45"/>
  <c r="O101" i="45"/>
  <c r="P101" i="45"/>
  <c r="Q101" i="45"/>
  <c r="U101" i="45"/>
  <c r="V101" i="45"/>
  <c r="W101" i="45"/>
  <c r="X101" i="45"/>
  <c r="Y101" i="45"/>
  <c r="Z101" i="45"/>
  <c r="AA101" i="45"/>
  <c r="AB101" i="45"/>
  <c r="AC101" i="45"/>
  <c r="AD101" i="45"/>
  <c r="AE101" i="45"/>
  <c r="AF101" i="45"/>
  <c r="AG101" i="45"/>
  <c r="D102" i="45"/>
  <c r="O102" i="45"/>
  <c r="P102" i="45"/>
  <c r="Q102" i="45"/>
  <c r="U102" i="45"/>
  <c r="V102" i="45"/>
  <c r="W102" i="45"/>
  <c r="X102" i="45"/>
  <c r="Y102" i="45"/>
  <c r="Z102" i="45"/>
  <c r="AA102" i="45"/>
  <c r="AB102" i="45"/>
  <c r="AC102" i="45"/>
  <c r="AD102" i="45"/>
  <c r="AE102" i="45"/>
  <c r="AF102" i="45"/>
  <c r="AG102" i="45"/>
  <c r="D103" i="45"/>
  <c r="O103" i="45"/>
  <c r="P103" i="45"/>
  <c r="Q103" i="45"/>
  <c r="U103" i="45"/>
  <c r="V103" i="45"/>
  <c r="W103" i="45"/>
  <c r="X103" i="45"/>
  <c r="Y103" i="45"/>
  <c r="Z103" i="45"/>
  <c r="AA103" i="45"/>
  <c r="AB103" i="45"/>
  <c r="AC103" i="45"/>
  <c r="AD103" i="45"/>
  <c r="AE103" i="45"/>
  <c r="AF103" i="45"/>
  <c r="AG103" i="45"/>
  <c r="D104" i="45"/>
  <c r="O104" i="45"/>
  <c r="P104" i="45"/>
  <c r="Q104" i="45"/>
  <c r="U104" i="45"/>
  <c r="V104" i="45"/>
  <c r="W104" i="45"/>
  <c r="X104" i="45"/>
  <c r="Y104" i="45"/>
  <c r="Z104" i="45"/>
  <c r="AA104" i="45"/>
  <c r="AB104" i="45"/>
  <c r="AC104" i="45"/>
  <c r="AD104" i="45"/>
  <c r="AE104" i="45"/>
  <c r="AF104" i="45"/>
  <c r="AG104" i="45"/>
  <c r="D105" i="45"/>
  <c r="O105" i="45"/>
  <c r="P105" i="45"/>
  <c r="Q105" i="45"/>
  <c r="U105" i="45"/>
  <c r="V105" i="45"/>
  <c r="W105" i="45"/>
  <c r="X105" i="45"/>
  <c r="Y105" i="45"/>
  <c r="Z105" i="45"/>
  <c r="AA105" i="45"/>
  <c r="AB105" i="45"/>
  <c r="AC105" i="45"/>
  <c r="AD105" i="45"/>
  <c r="AE105" i="45"/>
  <c r="AF105" i="45"/>
  <c r="AG105" i="45"/>
  <c r="D106" i="45"/>
  <c r="O106" i="45"/>
  <c r="P106" i="45"/>
  <c r="Q106" i="45"/>
  <c r="U106" i="45"/>
  <c r="V106" i="45"/>
  <c r="W106" i="45"/>
  <c r="X106" i="45"/>
  <c r="Y106" i="45"/>
  <c r="Z106" i="45"/>
  <c r="AA106" i="45"/>
  <c r="AB106" i="45"/>
  <c r="AC106" i="45"/>
  <c r="AD106" i="45"/>
  <c r="AE106" i="45"/>
  <c r="AF106" i="45"/>
  <c r="AG106" i="45"/>
  <c r="D107" i="45"/>
  <c r="O107" i="45"/>
  <c r="P107" i="45"/>
  <c r="Q107" i="45"/>
  <c r="U107" i="45"/>
  <c r="V107" i="45"/>
  <c r="W107" i="45"/>
  <c r="X107" i="45"/>
  <c r="Y107" i="45"/>
  <c r="Z107" i="45"/>
  <c r="AA107" i="45"/>
  <c r="AB107" i="45"/>
  <c r="AC107" i="45"/>
  <c r="AD107" i="45"/>
  <c r="AE107" i="45"/>
  <c r="AF107" i="45"/>
  <c r="AG107" i="45"/>
  <c r="D108" i="45"/>
  <c r="O108" i="45"/>
  <c r="P108" i="45"/>
  <c r="Q108" i="45"/>
  <c r="U108" i="45"/>
  <c r="V108" i="45"/>
  <c r="W108" i="45"/>
  <c r="X108" i="45"/>
  <c r="Y108" i="45"/>
  <c r="Z108" i="45"/>
  <c r="AA108" i="45"/>
  <c r="AB108" i="45"/>
  <c r="AC108" i="45"/>
  <c r="AD108" i="45"/>
  <c r="AE108" i="45"/>
  <c r="AF108" i="45"/>
  <c r="AG108" i="45"/>
  <c r="D109" i="45"/>
  <c r="O109" i="45"/>
  <c r="P109" i="45"/>
  <c r="Q109" i="45"/>
  <c r="U109" i="45"/>
  <c r="V109" i="45"/>
  <c r="W109" i="45"/>
  <c r="X109" i="45"/>
  <c r="Y109" i="45"/>
  <c r="Z109" i="45"/>
  <c r="AA109" i="45"/>
  <c r="AB109" i="45"/>
  <c r="AC109" i="45"/>
  <c r="AD109" i="45"/>
  <c r="AE109" i="45"/>
  <c r="AF109" i="45"/>
  <c r="AG109" i="45"/>
  <c r="D110" i="45"/>
  <c r="O110" i="45"/>
  <c r="P110" i="45"/>
  <c r="Q110" i="45"/>
  <c r="U110" i="45"/>
  <c r="V110" i="45"/>
  <c r="W110" i="45"/>
  <c r="X110" i="45"/>
  <c r="Y110" i="45"/>
  <c r="Z110" i="45"/>
  <c r="AA110" i="45"/>
  <c r="AB110" i="45"/>
  <c r="AC110" i="45"/>
  <c r="AD110" i="45"/>
  <c r="AE110" i="45"/>
  <c r="AF110" i="45"/>
  <c r="AG110" i="45"/>
  <c r="D111" i="45"/>
  <c r="O111" i="45"/>
  <c r="P111" i="45"/>
  <c r="Q111" i="45"/>
  <c r="U111" i="45"/>
  <c r="V111" i="45"/>
  <c r="W111" i="45"/>
  <c r="X111" i="45"/>
  <c r="Y111" i="45"/>
  <c r="Z111" i="45"/>
  <c r="AA111" i="45"/>
  <c r="AB111" i="45"/>
  <c r="AC111" i="45"/>
  <c r="AD111" i="45"/>
  <c r="AE111" i="45"/>
  <c r="AF111" i="45"/>
  <c r="AG111" i="45"/>
  <c r="D112" i="45"/>
  <c r="O112" i="45"/>
  <c r="P112" i="45"/>
  <c r="Q112" i="45"/>
  <c r="U112" i="45"/>
  <c r="V112" i="45"/>
  <c r="W112" i="45"/>
  <c r="X112" i="45"/>
  <c r="Y112" i="45"/>
  <c r="Z112" i="45"/>
  <c r="AA112" i="45"/>
  <c r="AB112" i="45"/>
  <c r="AC112" i="45"/>
  <c r="AD112" i="45"/>
  <c r="AE112" i="45"/>
  <c r="AF112" i="45"/>
  <c r="AG112" i="45"/>
  <c r="D113" i="45"/>
  <c r="O113" i="45"/>
  <c r="P113" i="45"/>
  <c r="Q113" i="45"/>
  <c r="U113" i="45"/>
  <c r="V113" i="45"/>
  <c r="W113" i="45"/>
  <c r="X113" i="45"/>
  <c r="Y113" i="45"/>
  <c r="Z113" i="45"/>
  <c r="AA113" i="45"/>
  <c r="AB113" i="45"/>
  <c r="AC113" i="45"/>
  <c r="AD113" i="45"/>
  <c r="AE113" i="45"/>
  <c r="AF113" i="45"/>
  <c r="AG113" i="45"/>
  <c r="D114" i="45"/>
  <c r="O114" i="45"/>
  <c r="P114" i="45"/>
  <c r="Q114" i="45"/>
  <c r="U114" i="45"/>
  <c r="V114" i="45"/>
  <c r="W114" i="45"/>
  <c r="X114" i="45"/>
  <c r="Y114" i="45"/>
  <c r="Z114" i="45"/>
  <c r="AA114" i="45"/>
  <c r="AB114" i="45"/>
  <c r="AC114" i="45"/>
  <c r="AD114" i="45"/>
  <c r="AE114" i="45"/>
  <c r="AF114" i="45"/>
  <c r="AG114" i="45"/>
  <c r="D115" i="45"/>
  <c r="O115" i="45"/>
  <c r="P115" i="45"/>
  <c r="Q115" i="45"/>
  <c r="U115" i="45"/>
  <c r="V115" i="45"/>
  <c r="W115" i="45"/>
  <c r="X115" i="45"/>
  <c r="Y115" i="45"/>
  <c r="Z115" i="45"/>
  <c r="AA115" i="45"/>
  <c r="AB115" i="45"/>
  <c r="AC115" i="45"/>
  <c r="AD115" i="45"/>
  <c r="AE115" i="45"/>
  <c r="AF115" i="45"/>
  <c r="AG115" i="45"/>
  <c r="D116" i="45"/>
  <c r="O116" i="45"/>
  <c r="P116" i="45"/>
  <c r="Q116" i="45"/>
  <c r="U116" i="45"/>
  <c r="V116" i="45"/>
  <c r="W116" i="45"/>
  <c r="X116" i="45"/>
  <c r="Y116" i="45"/>
  <c r="Z116" i="45"/>
  <c r="AA116" i="45"/>
  <c r="AB116" i="45"/>
  <c r="AC116" i="45"/>
  <c r="AD116" i="45"/>
  <c r="AE116" i="45"/>
  <c r="AF116" i="45"/>
  <c r="AG116" i="45"/>
  <c r="D117" i="45"/>
  <c r="O117" i="45"/>
  <c r="P117" i="45"/>
  <c r="Q117" i="45"/>
  <c r="U117" i="45"/>
  <c r="V117" i="45"/>
  <c r="W117" i="45"/>
  <c r="X117" i="45"/>
  <c r="Y117" i="45"/>
  <c r="Z117" i="45"/>
  <c r="AA117" i="45"/>
  <c r="AB117" i="45"/>
  <c r="AC117" i="45"/>
  <c r="AD117" i="45"/>
  <c r="AE117" i="45"/>
  <c r="AF117" i="45"/>
  <c r="AG117" i="45"/>
  <c r="D118" i="45"/>
  <c r="O118" i="45"/>
  <c r="P118" i="45"/>
  <c r="Q118" i="45"/>
  <c r="U118" i="45"/>
  <c r="V118" i="45"/>
  <c r="W118" i="45"/>
  <c r="X118" i="45"/>
  <c r="Y118" i="45"/>
  <c r="Z118" i="45"/>
  <c r="AA118" i="45"/>
  <c r="AB118" i="45"/>
  <c r="AC118" i="45"/>
  <c r="AD118" i="45"/>
  <c r="AE118" i="45"/>
  <c r="AF118" i="45"/>
  <c r="AG118" i="45"/>
  <c r="D119" i="45"/>
  <c r="O119" i="45"/>
  <c r="P119" i="45"/>
  <c r="Q119" i="45"/>
  <c r="U119" i="45"/>
  <c r="V119" i="45"/>
  <c r="W119" i="45"/>
  <c r="X119" i="45"/>
  <c r="Y119" i="45"/>
  <c r="Z119" i="45"/>
  <c r="AA119" i="45"/>
  <c r="AB119" i="45"/>
  <c r="AC119" i="45"/>
  <c r="AD119" i="45"/>
  <c r="AE119" i="45"/>
  <c r="AF119" i="45"/>
  <c r="AG119" i="45"/>
  <c r="D120" i="45"/>
  <c r="O120" i="45"/>
  <c r="P120" i="45"/>
  <c r="Q120" i="45"/>
  <c r="U120" i="45"/>
  <c r="V120" i="45"/>
  <c r="W120" i="45"/>
  <c r="X120" i="45"/>
  <c r="Y120" i="45"/>
  <c r="Z120" i="45"/>
  <c r="AA120" i="45"/>
  <c r="AB120" i="45"/>
  <c r="AC120" i="45"/>
  <c r="AD120" i="45"/>
  <c r="AE120" i="45"/>
  <c r="AF120" i="45"/>
  <c r="AG120" i="45"/>
  <c r="D121" i="45"/>
  <c r="O121" i="45"/>
  <c r="P121" i="45"/>
  <c r="Q121" i="45"/>
  <c r="U121" i="45"/>
  <c r="V121" i="45"/>
  <c r="W121" i="45"/>
  <c r="X121" i="45"/>
  <c r="Y121" i="45"/>
  <c r="Z121" i="45"/>
  <c r="AA121" i="45"/>
  <c r="AB121" i="45"/>
  <c r="AC121" i="45"/>
  <c r="AD121" i="45"/>
  <c r="AE121" i="45"/>
  <c r="AF121" i="45"/>
  <c r="AG121" i="45"/>
  <c r="D122" i="45"/>
  <c r="O122" i="45"/>
  <c r="P122" i="45"/>
  <c r="Q122" i="45"/>
  <c r="U122" i="45"/>
  <c r="V122" i="45"/>
  <c r="W122" i="45"/>
  <c r="X122" i="45"/>
  <c r="Y122" i="45"/>
  <c r="Z122" i="45"/>
  <c r="AA122" i="45"/>
  <c r="AB122" i="45"/>
  <c r="AC122" i="45"/>
  <c r="AD122" i="45"/>
  <c r="AE122" i="45"/>
  <c r="AF122" i="45"/>
  <c r="AG122" i="45"/>
  <c r="D123" i="45"/>
  <c r="O123" i="45"/>
  <c r="P123" i="45"/>
  <c r="Q123" i="45"/>
  <c r="U123" i="45"/>
  <c r="V123" i="45"/>
  <c r="W123" i="45"/>
  <c r="X123" i="45"/>
  <c r="Y123" i="45"/>
  <c r="Z123" i="45"/>
  <c r="AA123" i="45"/>
  <c r="AB123" i="45"/>
  <c r="AC123" i="45"/>
  <c r="AD123" i="45"/>
  <c r="AE123" i="45"/>
  <c r="AF123" i="45"/>
  <c r="AG123" i="45"/>
  <c r="D124" i="45"/>
  <c r="O124" i="45"/>
  <c r="P124" i="45"/>
  <c r="Q124" i="45"/>
  <c r="U124" i="45"/>
  <c r="V124" i="45"/>
  <c r="W124" i="45"/>
  <c r="X124" i="45"/>
  <c r="Y124" i="45"/>
  <c r="Z124" i="45"/>
  <c r="AA124" i="45"/>
  <c r="AB124" i="45"/>
  <c r="AC124" i="45"/>
  <c r="AD124" i="45"/>
  <c r="AE124" i="45"/>
  <c r="AF124" i="45"/>
  <c r="AG124" i="45"/>
  <c r="D125" i="45"/>
  <c r="O125" i="45"/>
  <c r="P125" i="45"/>
  <c r="Q125" i="45"/>
  <c r="U125" i="45"/>
  <c r="V125" i="45"/>
  <c r="W125" i="45"/>
  <c r="X125" i="45"/>
  <c r="Y125" i="45"/>
  <c r="Z125" i="45"/>
  <c r="AA125" i="45"/>
  <c r="AB125" i="45"/>
  <c r="AC125" i="45"/>
  <c r="AD125" i="45"/>
  <c r="AE125" i="45"/>
  <c r="AF125" i="45"/>
  <c r="AG125" i="45"/>
  <c r="D126" i="45"/>
  <c r="O126" i="45"/>
  <c r="P126" i="45"/>
  <c r="Q126" i="45"/>
  <c r="U126" i="45"/>
  <c r="V126" i="45"/>
  <c r="W126" i="45"/>
  <c r="X126" i="45"/>
  <c r="Y126" i="45"/>
  <c r="Z126" i="45"/>
  <c r="AA126" i="45"/>
  <c r="AB126" i="45"/>
  <c r="AC126" i="45"/>
  <c r="AD126" i="45"/>
  <c r="AE126" i="45"/>
  <c r="AF126" i="45"/>
  <c r="AG126" i="45"/>
  <c r="D127" i="45"/>
  <c r="O127" i="45"/>
  <c r="P127" i="45"/>
  <c r="Q127" i="45"/>
  <c r="U127" i="45"/>
  <c r="V127" i="45"/>
  <c r="W127" i="45"/>
  <c r="X127" i="45"/>
  <c r="Y127" i="45"/>
  <c r="Z127" i="45"/>
  <c r="AA127" i="45"/>
  <c r="AB127" i="45"/>
  <c r="AC127" i="45"/>
  <c r="AD127" i="45"/>
  <c r="AE127" i="45"/>
  <c r="AF127" i="45"/>
  <c r="AG127" i="45"/>
  <c r="D128" i="45"/>
  <c r="O128" i="45"/>
  <c r="P128" i="45"/>
  <c r="Q128" i="45"/>
  <c r="U128" i="45"/>
  <c r="V128" i="45"/>
  <c r="W128" i="45"/>
  <c r="X128" i="45"/>
  <c r="Y128" i="45"/>
  <c r="Z128" i="45"/>
  <c r="AA128" i="45"/>
  <c r="AB128" i="45"/>
  <c r="AC128" i="45"/>
  <c r="AD128" i="45"/>
  <c r="AE128" i="45"/>
  <c r="AF128" i="45"/>
  <c r="AG128" i="45"/>
  <c r="D129" i="45"/>
  <c r="O129" i="45"/>
  <c r="P129" i="45"/>
  <c r="Q129" i="45"/>
  <c r="U129" i="45"/>
  <c r="V129" i="45"/>
  <c r="W129" i="45"/>
  <c r="X129" i="45"/>
  <c r="Y129" i="45"/>
  <c r="Z129" i="45"/>
  <c r="AA129" i="45"/>
  <c r="AB129" i="45"/>
  <c r="AC129" i="45"/>
  <c r="AD129" i="45"/>
  <c r="AE129" i="45"/>
  <c r="AF129" i="45"/>
  <c r="AG129" i="45"/>
  <c r="D130" i="45"/>
  <c r="O130" i="45"/>
  <c r="P130" i="45"/>
  <c r="Q130" i="45"/>
  <c r="U130" i="45"/>
  <c r="V130" i="45"/>
  <c r="W130" i="45"/>
  <c r="X130" i="45"/>
  <c r="Y130" i="45"/>
  <c r="Z130" i="45"/>
  <c r="AA130" i="45"/>
  <c r="AB130" i="45"/>
  <c r="AC130" i="45"/>
  <c r="AD130" i="45"/>
  <c r="AE130" i="45"/>
  <c r="AF130" i="45"/>
  <c r="AG130" i="45"/>
  <c r="D131" i="45"/>
  <c r="O131" i="45"/>
  <c r="P131" i="45"/>
  <c r="Q131" i="45"/>
  <c r="U131" i="45"/>
  <c r="V131" i="45"/>
  <c r="W131" i="45"/>
  <c r="X131" i="45"/>
  <c r="Y131" i="45"/>
  <c r="Z131" i="45"/>
  <c r="AA131" i="45"/>
  <c r="AB131" i="45"/>
  <c r="AC131" i="45"/>
  <c r="AD131" i="45"/>
  <c r="AE131" i="45"/>
  <c r="AF131" i="45"/>
  <c r="AG131" i="45"/>
  <c r="D132" i="45"/>
  <c r="O132" i="45"/>
  <c r="P132" i="45"/>
  <c r="Q132" i="45"/>
  <c r="U132" i="45"/>
  <c r="V132" i="45"/>
  <c r="W132" i="45"/>
  <c r="X132" i="45"/>
  <c r="Y132" i="45"/>
  <c r="Z132" i="45"/>
  <c r="AA132" i="45"/>
  <c r="AB132" i="45"/>
  <c r="AC132" i="45"/>
  <c r="AD132" i="45"/>
  <c r="AE132" i="45"/>
  <c r="AF132" i="45"/>
  <c r="AG132" i="45"/>
  <c r="D133" i="45"/>
  <c r="O133" i="45"/>
  <c r="P133" i="45"/>
  <c r="Q133" i="45"/>
  <c r="U133" i="45"/>
  <c r="V133" i="45"/>
  <c r="W133" i="45"/>
  <c r="X133" i="45"/>
  <c r="Y133" i="45"/>
  <c r="Z133" i="45"/>
  <c r="AA133" i="45"/>
  <c r="AB133" i="45"/>
  <c r="AC133" i="45"/>
  <c r="AD133" i="45"/>
  <c r="AE133" i="45"/>
  <c r="AF133" i="45"/>
  <c r="AG133" i="45"/>
  <c r="D134" i="45"/>
  <c r="O134" i="45"/>
  <c r="P134" i="45"/>
  <c r="Q134" i="45"/>
  <c r="U134" i="45"/>
  <c r="V134" i="45"/>
  <c r="W134" i="45"/>
  <c r="X134" i="45"/>
  <c r="Y134" i="45"/>
  <c r="Z134" i="45"/>
  <c r="AA134" i="45"/>
  <c r="AB134" i="45"/>
  <c r="AC134" i="45"/>
  <c r="AD134" i="45"/>
  <c r="AE134" i="45"/>
  <c r="AF134" i="45"/>
  <c r="AG134" i="45"/>
  <c r="D135" i="45"/>
  <c r="O135" i="45"/>
  <c r="P135" i="45"/>
  <c r="Q135" i="45"/>
  <c r="U135" i="45"/>
  <c r="V135" i="45"/>
  <c r="W135" i="45"/>
  <c r="X135" i="45"/>
  <c r="Y135" i="45"/>
  <c r="Z135" i="45"/>
  <c r="AA135" i="45"/>
  <c r="AB135" i="45"/>
  <c r="AC135" i="45"/>
  <c r="AD135" i="45"/>
  <c r="AE135" i="45"/>
  <c r="AF135" i="45"/>
  <c r="AG135" i="45"/>
  <c r="D136" i="45"/>
  <c r="O136" i="45"/>
  <c r="P136" i="45"/>
  <c r="Q136" i="45"/>
  <c r="U136" i="45"/>
  <c r="V136" i="45"/>
  <c r="W136" i="45"/>
  <c r="X136" i="45"/>
  <c r="Y136" i="45"/>
  <c r="Z136" i="45"/>
  <c r="AA136" i="45"/>
  <c r="AB136" i="45"/>
  <c r="AC136" i="45"/>
  <c r="AD136" i="45"/>
  <c r="AE136" i="45"/>
  <c r="AF136" i="45"/>
  <c r="AG136" i="45"/>
  <c r="D137" i="45"/>
  <c r="O137" i="45"/>
  <c r="P137" i="45"/>
  <c r="Q137" i="45"/>
  <c r="U137" i="45"/>
  <c r="V137" i="45"/>
  <c r="W137" i="45"/>
  <c r="X137" i="45"/>
  <c r="Y137" i="45"/>
  <c r="Z137" i="45"/>
  <c r="AA137" i="45"/>
  <c r="AB137" i="45"/>
  <c r="AC137" i="45"/>
  <c r="AD137" i="45"/>
  <c r="AE137" i="45"/>
  <c r="AF137" i="45"/>
  <c r="AG137" i="45"/>
  <c r="D138" i="45"/>
  <c r="O138" i="45"/>
  <c r="P138" i="45"/>
  <c r="Q138" i="45"/>
  <c r="U138" i="45"/>
  <c r="V138" i="45"/>
  <c r="W138" i="45"/>
  <c r="X138" i="45"/>
  <c r="Y138" i="45"/>
  <c r="Z138" i="45"/>
  <c r="AA138" i="45"/>
  <c r="AB138" i="45"/>
  <c r="AC138" i="45"/>
  <c r="AD138" i="45"/>
  <c r="AE138" i="45"/>
  <c r="AF138" i="45"/>
  <c r="AG138" i="45"/>
  <c r="D139" i="45"/>
  <c r="O139" i="45"/>
  <c r="P139" i="45"/>
  <c r="Q139" i="45"/>
  <c r="U139" i="45"/>
  <c r="V139" i="45"/>
  <c r="W139" i="45"/>
  <c r="X139" i="45"/>
  <c r="Y139" i="45"/>
  <c r="Z139" i="45"/>
  <c r="AA139" i="45"/>
  <c r="AB139" i="45"/>
  <c r="AC139" i="45"/>
  <c r="AD139" i="45"/>
  <c r="AE139" i="45"/>
  <c r="AF139" i="45"/>
  <c r="AG139" i="45"/>
  <c r="D140" i="45"/>
  <c r="O140" i="45"/>
  <c r="P140" i="45"/>
  <c r="Q140" i="45"/>
  <c r="U140" i="45"/>
  <c r="V140" i="45"/>
  <c r="W140" i="45"/>
  <c r="X140" i="45"/>
  <c r="Y140" i="45"/>
  <c r="Z140" i="45"/>
  <c r="AA140" i="45"/>
  <c r="AB140" i="45"/>
  <c r="AC140" i="45"/>
  <c r="AD140" i="45"/>
  <c r="AE140" i="45"/>
  <c r="AF140" i="45"/>
  <c r="AG140" i="45"/>
  <c r="D141" i="45"/>
  <c r="O141" i="45"/>
  <c r="P141" i="45"/>
  <c r="Q141" i="45"/>
  <c r="U141" i="45"/>
  <c r="V141" i="45"/>
  <c r="W141" i="45"/>
  <c r="X141" i="45"/>
  <c r="Y141" i="45"/>
  <c r="Z141" i="45"/>
  <c r="AA141" i="45"/>
  <c r="AB141" i="45"/>
  <c r="AC141" i="45"/>
  <c r="AD141" i="45"/>
  <c r="AE141" i="45"/>
  <c r="AF141" i="45"/>
  <c r="AG141" i="45"/>
  <c r="D142" i="45"/>
  <c r="O142" i="45"/>
  <c r="P142" i="45"/>
  <c r="Q142" i="45"/>
  <c r="U142" i="45"/>
  <c r="V142" i="45"/>
  <c r="W142" i="45"/>
  <c r="X142" i="45"/>
  <c r="Y142" i="45"/>
  <c r="Z142" i="45"/>
  <c r="AA142" i="45"/>
  <c r="AB142" i="45"/>
  <c r="AC142" i="45"/>
  <c r="AD142" i="45"/>
  <c r="AE142" i="45"/>
  <c r="AF142" i="45"/>
  <c r="AG142" i="45"/>
  <c r="D143" i="45"/>
  <c r="O143" i="45"/>
  <c r="P143" i="45"/>
  <c r="Q143" i="45"/>
  <c r="U143" i="45"/>
  <c r="V143" i="45"/>
  <c r="W143" i="45"/>
  <c r="X143" i="45"/>
  <c r="Y143" i="45"/>
  <c r="Z143" i="45"/>
  <c r="AA143" i="45"/>
  <c r="AB143" i="45"/>
  <c r="AC143" i="45"/>
  <c r="AD143" i="45"/>
  <c r="AE143" i="45"/>
  <c r="AF143" i="45"/>
  <c r="AG143" i="45"/>
  <c r="D144" i="45"/>
  <c r="O144" i="45"/>
  <c r="P144" i="45"/>
  <c r="Q144" i="45"/>
  <c r="U144" i="45"/>
  <c r="V144" i="45"/>
  <c r="W144" i="45"/>
  <c r="X144" i="45"/>
  <c r="Y144" i="45"/>
  <c r="Z144" i="45"/>
  <c r="AA144" i="45"/>
  <c r="AB144" i="45"/>
  <c r="AC144" i="45"/>
  <c r="AD144" i="45"/>
  <c r="AE144" i="45"/>
  <c r="AF144" i="45"/>
  <c r="AG144" i="45"/>
  <c r="D145" i="45"/>
  <c r="O145" i="45"/>
  <c r="P145" i="45"/>
  <c r="Q145" i="45"/>
  <c r="U145" i="45"/>
  <c r="V145" i="45"/>
  <c r="W145" i="45"/>
  <c r="X145" i="45"/>
  <c r="Y145" i="45"/>
  <c r="Z145" i="45"/>
  <c r="AA145" i="45"/>
  <c r="AB145" i="45"/>
  <c r="AC145" i="45"/>
  <c r="AD145" i="45"/>
  <c r="AE145" i="45"/>
  <c r="AF145" i="45"/>
  <c r="AG145" i="45"/>
  <c r="D146" i="45"/>
  <c r="O146" i="45"/>
  <c r="P146" i="45"/>
  <c r="Q146" i="45"/>
  <c r="U146" i="45"/>
  <c r="V146" i="45"/>
  <c r="W146" i="45"/>
  <c r="X146" i="45"/>
  <c r="Y146" i="45"/>
  <c r="Z146" i="45"/>
  <c r="AA146" i="45"/>
  <c r="AB146" i="45"/>
  <c r="AC146" i="45"/>
  <c r="AD146" i="45"/>
  <c r="AE146" i="45"/>
  <c r="AF146" i="45"/>
  <c r="AG146" i="45"/>
  <c r="D147" i="45"/>
  <c r="O147" i="45"/>
  <c r="P147" i="45"/>
  <c r="Q147" i="45"/>
  <c r="U147" i="45"/>
  <c r="V147" i="45"/>
  <c r="W147" i="45"/>
  <c r="X147" i="45"/>
  <c r="Y147" i="45"/>
  <c r="Z147" i="45"/>
  <c r="AA147" i="45"/>
  <c r="AB147" i="45"/>
  <c r="AC147" i="45"/>
  <c r="AD147" i="45"/>
  <c r="AE147" i="45"/>
  <c r="AF147" i="45"/>
  <c r="AG147" i="45"/>
  <c r="D148" i="45"/>
  <c r="O148" i="45"/>
  <c r="P148" i="45"/>
  <c r="Q148" i="45"/>
  <c r="U148" i="45"/>
  <c r="V148" i="45"/>
  <c r="W148" i="45"/>
  <c r="X148" i="45"/>
  <c r="Y148" i="45"/>
  <c r="Z148" i="45"/>
  <c r="AA148" i="45"/>
  <c r="AB148" i="45"/>
  <c r="AC148" i="45"/>
  <c r="AD148" i="45"/>
  <c r="AE148" i="45"/>
  <c r="AF148" i="45"/>
  <c r="AG148" i="45"/>
  <c r="D149" i="45"/>
  <c r="O149" i="45"/>
  <c r="P149" i="45"/>
  <c r="Q149" i="45"/>
  <c r="U149" i="45"/>
  <c r="V149" i="45"/>
  <c r="W149" i="45"/>
  <c r="X149" i="45"/>
  <c r="Y149" i="45"/>
  <c r="Z149" i="45"/>
  <c r="AA149" i="45"/>
  <c r="AB149" i="45"/>
  <c r="AC149" i="45"/>
  <c r="AD149" i="45"/>
  <c r="AE149" i="45"/>
  <c r="AF149" i="45"/>
  <c r="AG149" i="45"/>
  <c r="D150" i="45"/>
  <c r="O150" i="45"/>
  <c r="P150" i="45"/>
  <c r="Q150" i="45"/>
  <c r="U150" i="45"/>
  <c r="V150" i="45"/>
  <c r="W150" i="45"/>
  <c r="X150" i="45"/>
  <c r="Y150" i="45"/>
  <c r="Z150" i="45"/>
  <c r="AA150" i="45"/>
  <c r="AB150" i="45"/>
  <c r="AC150" i="45"/>
  <c r="AD150" i="45"/>
  <c r="AE150" i="45"/>
  <c r="AF150" i="45"/>
  <c r="AG150" i="45"/>
  <c r="D151" i="45"/>
  <c r="O151" i="45"/>
  <c r="P151" i="45"/>
  <c r="Q151" i="45"/>
  <c r="U151" i="45"/>
  <c r="V151" i="45"/>
  <c r="W151" i="45"/>
  <c r="X151" i="45"/>
  <c r="Y151" i="45"/>
  <c r="Z151" i="45"/>
  <c r="AA151" i="45"/>
  <c r="AB151" i="45"/>
  <c r="AC151" i="45"/>
  <c r="AD151" i="45"/>
  <c r="AE151" i="45"/>
  <c r="AF151" i="45"/>
  <c r="AG151" i="45"/>
  <c r="D152" i="45"/>
  <c r="O152" i="45"/>
  <c r="P152" i="45"/>
  <c r="Q152" i="45"/>
  <c r="U152" i="45"/>
  <c r="V152" i="45"/>
  <c r="W152" i="45"/>
  <c r="X152" i="45"/>
  <c r="Y152" i="45"/>
  <c r="Z152" i="45"/>
  <c r="AA152" i="45"/>
  <c r="AB152" i="45"/>
  <c r="AC152" i="45"/>
  <c r="AD152" i="45"/>
  <c r="AE152" i="45"/>
  <c r="AF152" i="45"/>
  <c r="AG152" i="45"/>
  <c r="D153" i="45"/>
  <c r="O153" i="45"/>
  <c r="P153" i="45"/>
  <c r="Q153" i="45"/>
  <c r="U153" i="45"/>
  <c r="V153" i="45"/>
  <c r="W153" i="45"/>
  <c r="X153" i="45"/>
  <c r="Y153" i="45"/>
  <c r="Z153" i="45"/>
  <c r="AA153" i="45"/>
  <c r="AB153" i="45"/>
  <c r="AC153" i="45"/>
  <c r="AD153" i="45"/>
  <c r="AE153" i="45"/>
  <c r="AF153" i="45"/>
  <c r="AG153" i="45"/>
  <c r="D154" i="45"/>
  <c r="O154" i="45"/>
  <c r="P154" i="45"/>
  <c r="Q154" i="45"/>
  <c r="U154" i="45"/>
  <c r="V154" i="45"/>
  <c r="W154" i="45"/>
  <c r="X154" i="45"/>
  <c r="Y154" i="45"/>
  <c r="Z154" i="45"/>
  <c r="AA154" i="45"/>
  <c r="AB154" i="45"/>
  <c r="AC154" i="45"/>
  <c r="AD154" i="45"/>
  <c r="AE154" i="45"/>
  <c r="AF154" i="45"/>
  <c r="AG154" i="45"/>
  <c r="D155" i="45"/>
  <c r="O155" i="45"/>
  <c r="P155" i="45"/>
  <c r="Q155" i="45"/>
  <c r="U155" i="45"/>
  <c r="V155" i="45"/>
  <c r="W155" i="45"/>
  <c r="X155" i="45"/>
  <c r="Y155" i="45"/>
  <c r="Z155" i="45"/>
  <c r="AA155" i="45"/>
  <c r="AB155" i="45"/>
  <c r="AC155" i="45"/>
  <c r="AD155" i="45"/>
  <c r="AE155" i="45"/>
  <c r="AF155" i="45"/>
  <c r="AG155" i="45"/>
  <c r="D156" i="45"/>
  <c r="O156" i="45"/>
  <c r="P156" i="45"/>
  <c r="Q156" i="45"/>
  <c r="U156" i="45"/>
  <c r="V156" i="45"/>
  <c r="W156" i="45"/>
  <c r="X156" i="45"/>
  <c r="Y156" i="45"/>
  <c r="Z156" i="45"/>
  <c r="AA156" i="45"/>
  <c r="AB156" i="45"/>
  <c r="AC156" i="45"/>
  <c r="AD156" i="45"/>
  <c r="AE156" i="45"/>
  <c r="AF156" i="45"/>
  <c r="AG156" i="45"/>
  <c r="D157" i="45"/>
  <c r="O157" i="45"/>
  <c r="P157" i="45"/>
  <c r="Q157" i="45"/>
  <c r="U157" i="45"/>
  <c r="V157" i="45"/>
  <c r="W157" i="45"/>
  <c r="X157" i="45"/>
  <c r="Y157" i="45"/>
  <c r="Z157" i="45"/>
  <c r="AA157" i="45"/>
  <c r="AB157" i="45"/>
  <c r="AC157" i="45"/>
  <c r="AD157" i="45"/>
  <c r="AE157" i="45"/>
  <c r="AF157" i="45"/>
  <c r="AG157" i="45"/>
  <c r="D158" i="45"/>
  <c r="O158" i="45"/>
  <c r="P158" i="45"/>
  <c r="Q158" i="45"/>
  <c r="U158" i="45"/>
  <c r="V158" i="45"/>
  <c r="W158" i="45"/>
  <c r="X158" i="45"/>
  <c r="Y158" i="45"/>
  <c r="Z158" i="45"/>
  <c r="AA158" i="45"/>
  <c r="AB158" i="45"/>
  <c r="AC158" i="45"/>
  <c r="AD158" i="45"/>
  <c r="AE158" i="45"/>
  <c r="AF158" i="45"/>
  <c r="AG158" i="45"/>
  <c r="D159" i="45"/>
  <c r="O159" i="45"/>
  <c r="P159" i="45"/>
  <c r="Q159" i="45"/>
  <c r="U159" i="45"/>
  <c r="V159" i="45"/>
  <c r="W159" i="45"/>
  <c r="X159" i="45"/>
  <c r="Y159" i="45"/>
  <c r="Z159" i="45"/>
  <c r="AA159" i="45"/>
  <c r="AB159" i="45"/>
  <c r="AC159" i="45"/>
  <c r="AD159" i="45"/>
  <c r="AE159" i="45"/>
  <c r="AF159" i="45"/>
  <c r="AG159" i="45"/>
  <c r="D160" i="45"/>
  <c r="O160" i="45"/>
  <c r="P160" i="45"/>
  <c r="Q160" i="45"/>
  <c r="U160" i="45"/>
  <c r="V160" i="45"/>
  <c r="W160" i="45"/>
  <c r="X160" i="45"/>
  <c r="Y160" i="45"/>
  <c r="Z160" i="45"/>
  <c r="AA160" i="45"/>
  <c r="AB160" i="45"/>
  <c r="AC160" i="45"/>
  <c r="AD160" i="45"/>
  <c r="AE160" i="45"/>
  <c r="AF160" i="45"/>
  <c r="AG160" i="45"/>
  <c r="D161" i="45"/>
  <c r="O161" i="45"/>
  <c r="P161" i="45"/>
  <c r="Q161" i="45"/>
  <c r="U161" i="45"/>
  <c r="V161" i="45"/>
  <c r="W161" i="45"/>
  <c r="X161" i="45"/>
  <c r="Y161" i="45"/>
  <c r="Z161" i="45"/>
  <c r="AA161" i="45"/>
  <c r="AB161" i="45"/>
  <c r="AC161" i="45"/>
  <c r="AD161" i="45"/>
  <c r="AE161" i="45"/>
  <c r="AF161" i="45"/>
  <c r="AG161" i="45"/>
  <c r="D162" i="45"/>
  <c r="O162" i="45"/>
  <c r="P162" i="45"/>
  <c r="Q162" i="45"/>
  <c r="U162" i="45"/>
  <c r="V162" i="45"/>
  <c r="W162" i="45"/>
  <c r="X162" i="45"/>
  <c r="Y162" i="45"/>
  <c r="Z162" i="45"/>
  <c r="AA162" i="45"/>
  <c r="AB162" i="45"/>
  <c r="AC162" i="45"/>
  <c r="AD162" i="45"/>
  <c r="AE162" i="45"/>
  <c r="AF162" i="45"/>
  <c r="AG162" i="45"/>
  <c r="D163" i="45"/>
  <c r="O163" i="45"/>
  <c r="P163" i="45"/>
  <c r="Q163" i="45"/>
  <c r="U163" i="45"/>
  <c r="V163" i="45"/>
  <c r="W163" i="45"/>
  <c r="X163" i="45"/>
  <c r="Y163" i="45"/>
  <c r="Z163" i="45"/>
  <c r="AA163" i="45"/>
  <c r="AB163" i="45"/>
  <c r="AC163" i="45"/>
  <c r="AD163" i="45"/>
  <c r="AE163" i="45"/>
  <c r="AF163" i="45"/>
  <c r="AG163" i="45"/>
  <c r="D164" i="45"/>
  <c r="O164" i="45"/>
  <c r="P164" i="45"/>
  <c r="Q164" i="45"/>
  <c r="U164" i="45"/>
  <c r="V164" i="45"/>
  <c r="W164" i="45"/>
  <c r="X164" i="45"/>
  <c r="Y164" i="45"/>
  <c r="Z164" i="45"/>
  <c r="AA164" i="45"/>
  <c r="AB164" i="45"/>
  <c r="AC164" i="45"/>
  <c r="AD164" i="45"/>
  <c r="AE164" i="45"/>
  <c r="AF164" i="45"/>
  <c r="AG164" i="45"/>
  <c r="D165" i="45"/>
  <c r="O165" i="45"/>
  <c r="P165" i="45"/>
  <c r="Q165" i="45"/>
  <c r="U165" i="45"/>
  <c r="V165" i="45"/>
  <c r="W165" i="45"/>
  <c r="X165" i="45"/>
  <c r="Y165" i="45"/>
  <c r="Z165" i="45"/>
  <c r="AA165" i="45"/>
  <c r="AB165" i="45"/>
  <c r="AC165" i="45"/>
  <c r="AD165" i="45"/>
  <c r="AE165" i="45"/>
  <c r="AF165" i="45"/>
  <c r="AG165" i="45"/>
  <c r="D166" i="45"/>
  <c r="O166" i="45"/>
  <c r="P166" i="45"/>
  <c r="Q166" i="45"/>
  <c r="U166" i="45"/>
  <c r="V166" i="45"/>
  <c r="W166" i="45"/>
  <c r="X166" i="45"/>
  <c r="Y166" i="45"/>
  <c r="Z166" i="45"/>
  <c r="AA166" i="45"/>
  <c r="AB166" i="45"/>
  <c r="AC166" i="45"/>
  <c r="AD166" i="45"/>
  <c r="AE166" i="45"/>
  <c r="AF166" i="45"/>
  <c r="AG166" i="45"/>
  <c r="D167" i="45"/>
  <c r="O167" i="45"/>
  <c r="P167" i="45"/>
  <c r="Q167" i="45"/>
  <c r="U167" i="45"/>
  <c r="V167" i="45"/>
  <c r="W167" i="45"/>
  <c r="X167" i="45"/>
  <c r="Y167" i="45"/>
  <c r="Z167" i="45"/>
  <c r="AA167" i="45"/>
  <c r="AB167" i="45"/>
  <c r="AC167" i="45"/>
  <c r="AD167" i="45"/>
  <c r="AE167" i="45"/>
  <c r="AF167" i="45"/>
  <c r="AG167" i="45"/>
  <c r="D168" i="45"/>
  <c r="O168" i="45"/>
  <c r="P168" i="45"/>
  <c r="Q168" i="45"/>
  <c r="U168" i="45"/>
  <c r="V168" i="45"/>
  <c r="W168" i="45"/>
  <c r="X168" i="45"/>
  <c r="Y168" i="45"/>
  <c r="Z168" i="45"/>
  <c r="AA168" i="45"/>
  <c r="AB168" i="45"/>
  <c r="AC168" i="45"/>
  <c r="AD168" i="45"/>
  <c r="AE168" i="45"/>
  <c r="AF168" i="45"/>
  <c r="AG168" i="45"/>
  <c r="D169" i="45"/>
  <c r="O169" i="45"/>
  <c r="P169" i="45"/>
  <c r="Q169" i="45"/>
  <c r="U169" i="45"/>
  <c r="V169" i="45"/>
  <c r="W169" i="45"/>
  <c r="X169" i="45"/>
  <c r="Y169" i="45"/>
  <c r="Z169" i="45"/>
  <c r="AA169" i="45"/>
  <c r="AB169" i="45"/>
  <c r="AC169" i="45"/>
  <c r="AD169" i="45"/>
  <c r="AE169" i="45"/>
  <c r="AF169" i="45"/>
  <c r="AG169" i="45"/>
  <c r="D170" i="45"/>
  <c r="O170" i="45"/>
  <c r="P170" i="45"/>
  <c r="Q170" i="45"/>
  <c r="U170" i="45"/>
  <c r="V170" i="45"/>
  <c r="W170" i="45"/>
  <c r="X170" i="45"/>
  <c r="Y170" i="45"/>
  <c r="Z170" i="45"/>
  <c r="AA170" i="45"/>
  <c r="AB170" i="45"/>
  <c r="AC170" i="45"/>
  <c r="AD170" i="45"/>
  <c r="AE170" i="45"/>
  <c r="AF170" i="45"/>
  <c r="AG170" i="45"/>
  <c r="D171" i="45"/>
  <c r="O171" i="45"/>
  <c r="P171" i="45"/>
  <c r="Q171" i="45"/>
  <c r="U171" i="45"/>
  <c r="V171" i="45"/>
  <c r="W171" i="45"/>
  <c r="X171" i="45"/>
  <c r="Y171" i="45"/>
  <c r="Z171" i="45"/>
  <c r="AA171" i="45"/>
  <c r="AB171" i="45"/>
  <c r="AC171" i="45"/>
  <c r="AD171" i="45"/>
  <c r="AE171" i="45"/>
  <c r="AF171" i="45"/>
  <c r="AG171" i="45"/>
  <c r="D172" i="45"/>
  <c r="O172" i="45"/>
  <c r="P172" i="45"/>
  <c r="Q172" i="45"/>
  <c r="U172" i="45"/>
  <c r="V172" i="45"/>
  <c r="W172" i="45"/>
  <c r="X172" i="45"/>
  <c r="Y172" i="45"/>
  <c r="Z172" i="45"/>
  <c r="AA172" i="45"/>
  <c r="AB172" i="45"/>
  <c r="AC172" i="45"/>
  <c r="AD172" i="45"/>
  <c r="AE172" i="45"/>
  <c r="AF172" i="45"/>
  <c r="AG172" i="45"/>
  <c r="D173" i="45"/>
  <c r="O173" i="45"/>
  <c r="P173" i="45"/>
  <c r="Q173" i="45"/>
  <c r="U173" i="45"/>
  <c r="V173" i="45"/>
  <c r="W173" i="45"/>
  <c r="X173" i="45"/>
  <c r="Y173" i="45"/>
  <c r="Z173" i="45"/>
  <c r="AA173" i="45"/>
  <c r="AB173" i="45"/>
  <c r="AC173" i="45"/>
  <c r="AD173" i="45"/>
  <c r="AE173" i="45"/>
  <c r="AF173" i="45"/>
  <c r="AG173" i="45"/>
  <c r="D174" i="45"/>
  <c r="O174" i="45"/>
  <c r="P174" i="45"/>
  <c r="Q174" i="45"/>
  <c r="U174" i="45"/>
  <c r="V174" i="45"/>
  <c r="W174" i="45"/>
  <c r="X174" i="45"/>
  <c r="Y174" i="45"/>
  <c r="Z174" i="45"/>
  <c r="AA174" i="45"/>
  <c r="AB174" i="45"/>
  <c r="AC174" i="45"/>
  <c r="AD174" i="45"/>
  <c r="AE174" i="45"/>
  <c r="AF174" i="45"/>
  <c r="AG174" i="45"/>
  <c r="D175" i="45"/>
  <c r="O175" i="45"/>
  <c r="P175" i="45"/>
  <c r="Q175" i="45"/>
  <c r="U175" i="45"/>
  <c r="V175" i="45"/>
  <c r="W175" i="45"/>
  <c r="X175" i="45"/>
  <c r="Y175" i="45"/>
  <c r="Z175" i="45"/>
  <c r="AA175" i="45"/>
  <c r="AB175" i="45"/>
  <c r="AC175" i="45"/>
  <c r="AD175" i="45"/>
  <c r="AE175" i="45"/>
  <c r="AF175" i="45"/>
  <c r="AG175" i="45"/>
  <c r="D176" i="45"/>
  <c r="O176" i="45"/>
  <c r="P176" i="45"/>
  <c r="Q176" i="45"/>
  <c r="U176" i="45"/>
  <c r="V176" i="45"/>
  <c r="W176" i="45"/>
  <c r="X176" i="45"/>
  <c r="Y176" i="45"/>
  <c r="Z176" i="45"/>
  <c r="AA176" i="45"/>
  <c r="AB176" i="45"/>
  <c r="AC176" i="45"/>
  <c r="AD176" i="45"/>
  <c r="AE176" i="45"/>
  <c r="AF176" i="45"/>
  <c r="AG176" i="45"/>
  <c r="D177" i="45"/>
  <c r="O177" i="45"/>
  <c r="P177" i="45"/>
  <c r="Q177" i="45"/>
  <c r="U177" i="45"/>
  <c r="V177" i="45"/>
  <c r="W177" i="45"/>
  <c r="X177" i="45"/>
  <c r="Y177" i="45"/>
  <c r="Z177" i="45"/>
  <c r="AA177" i="45"/>
  <c r="AB177" i="45"/>
  <c r="AC177" i="45"/>
  <c r="AD177" i="45"/>
  <c r="AE177" i="45"/>
  <c r="AF177" i="45"/>
  <c r="AG177" i="45"/>
  <c r="D178" i="45"/>
  <c r="O178" i="45"/>
  <c r="P178" i="45"/>
  <c r="Q178" i="45"/>
  <c r="U178" i="45"/>
  <c r="V178" i="45"/>
  <c r="W178" i="45"/>
  <c r="X178" i="45"/>
  <c r="Y178" i="45"/>
  <c r="Z178" i="45"/>
  <c r="AA178" i="45"/>
  <c r="AB178" i="45"/>
  <c r="AC178" i="45"/>
  <c r="AD178" i="45"/>
  <c r="AE178" i="45"/>
  <c r="AF178" i="45"/>
  <c r="AG178" i="45"/>
  <c r="D179" i="45"/>
  <c r="O179" i="45"/>
  <c r="P179" i="45"/>
  <c r="Q179" i="45"/>
  <c r="U179" i="45"/>
  <c r="V179" i="45"/>
  <c r="W179" i="45"/>
  <c r="X179" i="45"/>
  <c r="Y179" i="45"/>
  <c r="Z179" i="45"/>
  <c r="AA179" i="45"/>
  <c r="AB179" i="45"/>
  <c r="AC179" i="45"/>
  <c r="AD179" i="45"/>
  <c r="AE179" i="45"/>
  <c r="AF179" i="45"/>
  <c r="AG179" i="45"/>
  <c r="D180" i="45"/>
  <c r="O180" i="45"/>
  <c r="P180" i="45"/>
  <c r="Q180" i="45"/>
  <c r="U180" i="45"/>
  <c r="V180" i="45"/>
  <c r="W180" i="45"/>
  <c r="X180" i="45"/>
  <c r="Y180" i="45"/>
  <c r="Z180" i="45"/>
  <c r="AA180" i="45"/>
  <c r="AB180" i="45"/>
  <c r="AC180" i="45"/>
  <c r="AD180" i="45"/>
  <c r="AE180" i="45"/>
  <c r="AF180" i="45"/>
  <c r="AG180" i="45"/>
  <c r="D181" i="45"/>
  <c r="O181" i="45"/>
  <c r="P181" i="45"/>
  <c r="Q181" i="45"/>
  <c r="U181" i="45"/>
  <c r="V181" i="45"/>
  <c r="W181" i="45"/>
  <c r="X181" i="45"/>
  <c r="Y181" i="45"/>
  <c r="Z181" i="45"/>
  <c r="AA181" i="45"/>
  <c r="AB181" i="45"/>
  <c r="AC181" i="45"/>
  <c r="AD181" i="45"/>
  <c r="AE181" i="45"/>
  <c r="AF181" i="45"/>
  <c r="AG181" i="45"/>
  <c r="D182" i="45"/>
  <c r="O182" i="45"/>
  <c r="P182" i="45"/>
  <c r="Q182" i="45"/>
  <c r="U182" i="45"/>
  <c r="V182" i="45"/>
  <c r="W182" i="45"/>
  <c r="X182" i="45"/>
  <c r="Y182" i="45"/>
  <c r="Z182" i="45"/>
  <c r="AA182" i="45"/>
  <c r="AB182" i="45"/>
  <c r="AC182" i="45"/>
  <c r="AD182" i="45"/>
  <c r="AE182" i="45"/>
  <c r="AF182" i="45"/>
  <c r="AG182" i="45"/>
  <c r="D183" i="45"/>
  <c r="O183" i="45"/>
  <c r="P183" i="45"/>
  <c r="Q183" i="45"/>
  <c r="U183" i="45"/>
  <c r="V183" i="45"/>
  <c r="W183" i="45"/>
  <c r="X183" i="45"/>
  <c r="Y183" i="45"/>
  <c r="Z183" i="45"/>
  <c r="AA183" i="45"/>
  <c r="AB183" i="45"/>
  <c r="AC183" i="45"/>
  <c r="AD183" i="45"/>
  <c r="AE183" i="45"/>
  <c r="AF183" i="45"/>
  <c r="AG183" i="45"/>
  <c r="D184" i="45"/>
  <c r="O184" i="45"/>
  <c r="P184" i="45"/>
  <c r="Q184" i="45"/>
  <c r="U184" i="45"/>
  <c r="V184" i="45"/>
  <c r="W184" i="45"/>
  <c r="X184" i="45"/>
  <c r="Y184" i="45"/>
  <c r="Z184" i="45"/>
  <c r="AA184" i="45"/>
  <c r="AB184" i="45"/>
  <c r="AC184" i="45"/>
  <c r="AD184" i="45"/>
  <c r="AE184" i="45"/>
  <c r="AF184" i="45"/>
  <c r="AG184" i="45"/>
  <c r="D185" i="45"/>
  <c r="O185" i="45"/>
  <c r="P185" i="45"/>
  <c r="Q185" i="45"/>
  <c r="U185" i="45"/>
  <c r="V185" i="45"/>
  <c r="W185" i="45"/>
  <c r="X185" i="45"/>
  <c r="Y185" i="45"/>
  <c r="Z185" i="45"/>
  <c r="AA185" i="45"/>
  <c r="AB185" i="45"/>
  <c r="AC185" i="45"/>
  <c r="AD185" i="45"/>
  <c r="AE185" i="45"/>
  <c r="AF185" i="45"/>
  <c r="AG185" i="45"/>
  <c r="D186" i="45"/>
  <c r="O186" i="45"/>
  <c r="P186" i="45"/>
  <c r="Q186" i="45"/>
  <c r="U186" i="45"/>
  <c r="V186" i="45"/>
  <c r="W186" i="45"/>
  <c r="X186" i="45"/>
  <c r="Y186" i="45"/>
  <c r="Z186" i="45"/>
  <c r="AA186" i="45"/>
  <c r="AB186" i="45"/>
  <c r="AC186" i="45"/>
  <c r="AD186" i="45"/>
  <c r="AE186" i="45"/>
  <c r="AF186" i="45"/>
  <c r="AG186" i="45"/>
  <c r="D187" i="45"/>
  <c r="O187" i="45"/>
  <c r="P187" i="45"/>
  <c r="Q187" i="45"/>
  <c r="U187" i="45"/>
  <c r="V187" i="45"/>
  <c r="W187" i="45"/>
  <c r="X187" i="45"/>
  <c r="Y187" i="45"/>
  <c r="Z187" i="45"/>
  <c r="AA187" i="45"/>
  <c r="AB187" i="45"/>
  <c r="AC187" i="45"/>
  <c r="AD187" i="45"/>
  <c r="AE187" i="45"/>
  <c r="AF187" i="45"/>
  <c r="AG187" i="45"/>
  <c r="D188" i="45"/>
  <c r="O188" i="45"/>
  <c r="P188" i="45"/>
  <c r="Q188" i="45"/>
  <c r="U188" i="45"/>
  <c r="V188" i="45"/>
  <c r="W188" i="45"/>
  <c r="X188" i="45"/>
  <c r="Y188" i="45"/>
  <c r="Z188" i="45"/>
  <c r="AA188" i="45"/>
  <c r="AB188" i="45"/>
  <c r="AC188" i="45"/>
  <c r="AD188" i="45"/>
  <c r="AE188" i="45"/>
  <c r="AF188" i="45"/>
  <c r="AG188" i="45"/>
  <c r="D189" i="45"/>
  <c r="O189" i="45"/>
  <c r="P189" i="45"/>
  <c r="Q189" i="45"/>
  <c r="U189" i="45"/>
  <c r="V189" i="45"/>
  <c r="W189" i="45"/>
  <c r="X189" i="45"/>
  <c r="Y189" i="45"/>
  <c r="Z189" i="45"/>
  <c r="AA189" i="45"/>
  <c r="AB189" i="45"/>
  <c r="AC189" i="45"/>
  <c r="AD189" i="45"/>
  <c r="AE189" i="45"/>
  <c r="AF189" i="45"/>
  <c r="AG189" i="45"/>
  <c r="D190" i="45"/>
  <c r="O190" i="45"/>
  <c r="P190" i="45"/>
  <c r="Q190" i="45"/>
  <c r="U190" i="45"/>
  <c r="V190" i="45"/>
  <c r="W190" i="45"/>
  <c r="X190" i="45"/>
  <c r="Y190" i="45"/>
  <c r="Z190" i="45"/>
  <c r="AA190" i="45"/>
  <c r="AB190" i="45"/>
  <c r="AC190" i="45"/>
  <c r="AD190" i="45"/>
  <c r="AE190" i="45"/>
  <c r="AF190" i="45"/>
  <c r="AG190" i="45"/>
  <c r="D191" i="45"/>
  <c r="O191" i="45"/>
  <c r="P191" i="45"/>
  <c r="Q191" i="45"/>
  <c r="U191" i="45"/>
  <c r="V191" i="45"/>
  <c r="W191" i="45"/>
  <c r="X191" i="45"/>
  <c r="Y191" i="45"/>
  <c r="Z191" i="45"/>
  <c r="AA191" i="45"/>
  <c r="AB191" i="45"/>
  <c r="AC191" i="45"/>
  <c r="AD191" i="45"/>
  <c r="AE191" i="45"/>
  <c r="AF191" i="45"/>
  <c r="AG191" i="45"/>
  <c r="D192" i="45"/>
  <c r="O192" i="45"/>
  <c r="P192" i="45"/>
  <c r="Q192" i="45"/>
  <c r="U192" i="45"/>
  <c r="V192" i="45"/>
  <c r="W192" i="45"/>
  <c r="X192" i="45"/>
  <c r="Y192" i="45"/>
  <c r="Z192" i="45"/>
  <c r="AA192" i="45"/>
  <c r="AB192" i="45"/>
  <c r="AC192" i="45"/>
  <c r="AD192" i="45"/>
  <c r="AE192" i="45"/>
  <c r="AF192" i="45"/>
  <c r="AG192" i="45"/>
  <c r="D17" i="46"/>
  <c r="I17" i="46"/>
  <c r="M17" i="46"/>
  <c r="N17" i="46"/>
  <c r="O17" i="46"/>
  <c r="P17" i="46"/>
  <c r="Q17" i="46"/>
  <c r="M97" i="46"/>
  <c r="I97" i="46"/>
  <c r="N97" i="46"/>
  <c r="S97" i="46"/>
  <c r="M96" i="46"/>
  <c r="I96" i="46"/>
  <c r="N96" i="46"/>
  <c r="S96" i="46"/>
  <c r="M95" i="46"/>
  <c r="I95" i="46"/>
  <c r="N95" i="46"/>
  <c r="S95" i="46"/>
  <c r="M94" i="46"/>
  <c r="I94" i="46"/>
  <c r="N94" i="46"/>
  <c r="S94" i="46"/>
  <c r="M93" i="46"/>
  <c r="I93" i="46"/>
  <c r="N93" i="46"/>
  <c r="S93" i="46"/>
  <c r="M92" i="46"/>
  <c r="I92" i="46"/>
  <c r="N92" i="46"/>
  <c r="S92" i="46"/>
  <c r="M91" i="46"/>
  <c r="I91" i="46"/>
  <c r="N91" i="46"/>
  <c r="S91" i="46"/>
  <c r="M90" i="46"/>
  <c r="I90" i="46"/>
  <c r="N90" i="46"/>
  <c r="S90" i="46"/>
  <c r="M89" i="46"/>
  <c r="I89" i="46"/>
  <c r="N89" i="46"/>
  <c r="S89" i="46"/>
  <c r="M88" i="46"/>
  <c r="I88" i="46"/>
  <c r="N88" i="46"/>
  <c r="S88" i="46"/>
  <c r="M87" i="46"/>
  <c r="I87" i="46"/>
  <c r="N87" i="46"/>
  <c r="S87" i="46"/>
  <c r="M86" i="46"/>
  <c r="I86" i="46"/>
  <c r="N86" i="46"/>
  <c r="S86" i="46"/>
  <c r="M85" i="46"/>
  <c r="I85" i="46"/>
  <c r="N85" i="46"/>
  <c r="S85" i="46"/>
  <c r="M84" i="46"/>
  <c r="I84" i="46"/>
  <c r="N84" i="46"/>
  <c r="S84" i="46"/>
  <c r="M83" i="46"/>
  <c r="I83" i="46"/>
  <c r="N83" i="46"/>
  <c r="S83" i="46"/>
  <c r="M82" i="46"/>
  <c r="I82" i="46"/>
  <c r="N82" i="46"/>
  <c r="S82" i="46"/>
  <c r="M81" i="46"/>
  <c r="I81" i="46"/>
  <c r="N81" i="46"/>
  <c r="S81" i="46"/>
  <c r="M80" i="46"/>
  <c r="I80" i="46"/>
  <c r="N80" i="46"/>
  <c r="S80" i="46"/>
  <c r="M79" i="46"/>
  <c r="I79" i="46"/>
  <c r="N79" i="46"/>
  <c r="S79" i="46"/>
  <c r="M78" i="46"/>
  <c r="I78" i="46"/>
  <c r="N78" i="46"/>
  <c r="S78" i="46"/>
  <c r="M77" i="46"/>
  <c r="I77" i="46"/>
  <c r="N77" i="46"/>
  <c r="S77" i="46"/>
  <c r="M76" i="46"/>
  <c r="I76" i="46"/>
  <c r="N76" i="46"/>
  <c r="S76" i="46"/>
  <c r="M75" i="46"/>
  <c r="I75" i="46"/>
  <c r="N75" i="46"/>
  <c r="S75" i="46"/>
  <c r="M74" i="46"/>
  <c r="I74" i="46"/>
  <c r="N74" i="46"/>
  <c r="S74" i="46"/>
  <c r="M73" i="46"/>
  <c r="I73" i="46"/>
  <c r="N73" i="46"/>
  <c r="S73" i="46"/>
  <c r="M72" i="46"/>
  <c r="I72" i="46"/>
  <c r="N72" i="46"/>
  <c r="S72" i="46"/>
  <c r="M71" i="46"/>
  <c r="I71" i="46"/>
  <c r="N71" i="46"/>
  <c r="S71" i="46"/>
  <c r="M70" i="46"/>
  <c r="I70" i="46"/>
  <c r="N70" i="46"/>
  <c r="S70" i="46"/>
  <c r="M69" i="46"/>
  <c r="I69" i="46"/>
  <c r="N69" i="46"/>
  <c r="S69" i="46"/>
  <c r="M68" i="46"/>
  <c r="I68" i="46"/>
  <c r="N68" i="46"/>
  <c r="S68" i="46"/>
  <c r="M67" i="46"/>
  <c r="I67" i="46"/>
  <c r="N67" i="46"/>
  <c r="S67" i="46"/>
  <c r="M66" i="46"/>
  <c r="I66" i="46"/>
  <c r="N66" i="46"/>
  <c r="S66" i="46"/>
  <c r="M65" i="46"/>
  <c r="I65" i="46"/>
  <c r="N65" i="46"/>
  <c r="S65" i="46"/>
  <c r="M64" i="46"/>
  <c r="I64" i="46"/>
  <c r="N64" i="46"/>
  <c r="S64" i="46"/>
  <c r="M63" i="46"/>
  <c r="I63" i="46"/>
  <c r="N63" i="46"/>
  <c r="S63" i="46"/>
  <c r="M62" i="46"/>
  <c r="I62" i="46"/>
  <c r="N62" i="46"/>
  <c r="S62" i="46"/>
  <c r="M61" i="46"/>
  <c r="I61" i="46"/>
  <c r="N61" i="46"/>
  <c r="S61" i="46"/>
  <c r="M60" i="46"/>
  <c r="I60" i="46"/>
  <c r="N60" i="46"/>
  <c r="S60" i="46"/>
  <c r="M59" i="46"/>
  <c r="I59" i="46"/>
  <c r="N59" i="46"/>
  <c r="S59" i="46"/>
  <c r="M58" i="46"/>
  <c r="I58" i="46"/>
  <c r="N58" i="46"/>
  <c r="S58" i="46"/>
  <c r="M57" i="46"/>
  <c r="I57" i="46"/>
  <c r="N57" i="46"/>
  <c r="S57" i="46"/>
  <c r="M56" i="46"/>
  <c r="I56" i="46"/>
  <c r="N56" i="46"/>
  <c r="S56" i="46"/>
  <c r="M55" i="46"/>
  <c r="I55" i="46"/>
  <c r="N55" i="46"/>
  <c r="S55" i="46"/>
  <c r="M54" i="46"/>
  <c r="I54" i="46"/>
  <c r="N54" i="46"/>
  <c r="S54" i="46"/>
  <c r="M53" i="46"/>
  <c r="I53" i="46"/>
  <c r="N53" i="46"/>
  <c r="S53" i="46"/>
  <c r="M52" i="46"/>
  <c r="I52" i="46"/>
  <c r="N52" i="46"/>
  <c r="S52" i="46"/>
  <c r="M51" i="46"/>
  <c r="I51" i="46"/>
  <c r="N51" i="46"/>
  <c r="S51" i="46"/>
  <c r="M50" i="46"/>
  <c r="I50" i="46"/>
  <c r="N50" i="46"/>
  <c r="S50" i="46"/>
  <c r="M49" i="46"/>
  <c r="I49" i="46"/>
  <c r="N49" i="46"/>
  <c r="S49" i="46"/>
  <c r="M48" i="46"/>
  <c r="I48" i="46"/>
  <c r="N48" i="46"/>
  <c r="S48" i="46"/>
  <c r="M47" i="46"/>
  <c r="I47" i="46"/>
  <c r="N47" i="46"/>
  <c r="S47" i="46"/>
  <c r="M46" i="46"/>
  <c r="I46" i="46"/>
  <c r="N46" i="46"/>
  <c r="S46" i="46"/>
  <c r="M45" i="46"/>
  <c r="I45" i="46"/>
  <c r="N45" i="46"/>
  <c r="S45" i="46"/>
  <c r="M44" i="46"/>
  <c r="I44" i="46"/>
  <c r="N44" i="46"/>
  <c r="S44" i="46"/>
  <c r="M43" i="46"/>
  <c r="I43" i="46"/>
  <c r="N43" i="46"/>
  <c r="S43" i="46"/>
  <c r="M42" i="46"/>
  <c r="I42" i="46"/>
  <c r="N42" i="46"/>
  <c r="S42" i="46"/>
  <c r="M41" i="46"/>
  <c r="I41" i="46"/>
  <c r="N41" i="46"/>
  <c r="S41" i="46"/>
  <c r="M40" i="46"/>
  <c r="I40" i="46"/>
  <c r="N40" i="46"/>
  <c r="S40" i="46"/>
  <c r="M39" i="46"/>
  <c r="I39" i="46"/>
  <c r="N39" i="46"/>
  <c r="S39" i="46"/>
  <c r="M38" i="46"/>
  <c r="I38" i="46"/>
  <c r="N38" i="46"/>
  <c r="S38" i="46"/>
  <c r="M37" i="46"/>
  <c r="I37" i="46"/>
  <c r="N37" i="46"/>
  <c r="S37" i="46"/>
  <c r="M36" i="46"/>
  <c r="I36" i="46"/>
  <c r="N36" i="46"/>
  <c r="S36" i="46"/>
  <c r="M35" i="46"/>
  <c r="I35" i="46"/>
  <c r="N35" i="46"/>
  <c r="S35" i="46"/>
  <c r="M34" i="46"/>
  <c r="I34" i="46"/>
  <c r="N34" i="46"/>
  <c r="S34" i="46"/>
  <c r="M33" i="46"/>
  <c r="I33" i="46"/>
  <c r="N33" i="46"/>
  <c r="S33" i="46"/>
  <c r="M32" i="46"/>
  <c r="I32" i="46"/>
  <c r="N32" i="46"/>
  <c r="S32" i="46"/>
  <c r="M31" i="46"/>
  <c r="I31" i="46"/>
  <c r="N31" i="46"/>
  <c r="S31" i="46"/>
  <c r="M30" i="46"/>
  <c r="I30" i="46"/>
  <c r="N30" i="46"/>
  <c r="S30" i="46"/>
  <c r="M29" i="46"/>
  <c r="I29" i="46"/>
  <c r="N29" i="46"/>
  <c r="S29" i="46"/>
  <c r="M28" i="46"/>
  <c r="I28" i="46"/>
  <c r="N28" i="46"/>
  <c r="S28" i="46"/>
  <c r="M27" i="46"/>
  <c r="I27" i="46"/>
  <c r="N27" i="46"/>
  <c r="S27" i="46"/>
  <c r="M26" i="46"/>
  <c r="I26" i="46"/>
  <c r="N26" i="46"/>
  <c r="S26" i="46"/>
  <c r="M25" i="46"/>
  <c r="I25" i="46"/>
  <c r="N25" i="46"/>
  <c r="S25" i="46"/>
  <c r="M24" i="46"/>
  <c r="I24" i="46"/>
  <c r="N24" i="46"/>
  <c r="S24" i="46"/>
  <c r="M23" i="46"/>
  <c r="I23" i="46"/>
  <c r="N23" i="46"/>
  <c r="S23" i="46"/>
  <c r="M22" i="46"/>
  <c r="I22" i="46"/>
  <c r="N22" i="46"/>
  <c r="S22" i="46"/>
  <c r="M21" i="46"/>
  <c r="I21" i="46"/>
  <c r="N21" i="46"/>
  <c r="S21" i="46"/>
  <c r="M20" i="46"/>
  <c r="I20" i="46"/>
  <c r="N20" i="46"/>
  <c r="S20" i="46"/>
  <c r="M19" i="46"/>
  <c r="I19" i="46"/>
  <c r="N19" i="46"/>
  <c r="S19" i="46"/>
  <c r="M18" i="46"/>
  <c r="I18" i="46"/>
  <c r="N18" i="46"/>
  <c r="S18" i="46"/>
  <c r="R97" i="46"/>
  <c r="R96" i="46"/>
  <c r="R95" i="46"/>
  <c r="R94" i="46"/>
  <c r="R93" i="46"/>
  <c r="R92" i="46"/>
  <c r="R91" i="46"/>
  <c r="R90" i="46"/>
  <c r="R89" i="46"/>
  <c r="R88" i="46"/>
  <c r="R87" i="46"/>
  <c r="R86" i="46"/>
  <c r="R85" i="46"/>
  <c r="R84" i="46"/>
  <c r="R83" i="46"/>
  <c r="R82" i="46"/>
  <c r="R81" i="46"/>
  <c r="R80" i="46"/>
  <c r="R79" i="46"/>
  <c r="R78" i="46"/>
  <c r="R77" i="46"/>
  <c r="R76" i="46"/>
  <c r="R75" i="46"/>
  <c r="R74" i="46"/>
  <c r="R73" i="46"/>
  <c r="R72" i="46"/>
  <c r="R71" i="46"/>
  <c r="R70" i="46"/>
  <c r="R69" i="46"/>
  <c r="R68" i="46"/>
  <c r="R67" i="46"/>
  <c r="R66" i="46"/>
  <c r="R65" i="46"/>
  <c r="R64" i="46"/>
  <c r="R63" i="46"/>
  <c r="R62" i="46"/>
  <c r="R61" i="46"/>
  <c r="R60" i="46"/>
  <c r="R59" i="46"/>
  <c r="R58" i="46"/>
  <c r="R57" i="46"/>
  <c r="R56" i="46"/>
  <c r="R55" i="46"/>
  <c r="R54" i="46"/>
  <c r="R53" i="46"/>
  <c r="R52" i="46"/>
  <c r="R51" i="46"/>
  <c r="R50" i="46"/>
  <c r="R49" i="46"/>
  <c r="R48" i="46"/>
  <c r="R47" i="46"/>
  <c r="R46" i="46"/>
  <c r="R45" i="46"/>
  <c r="R44" i="46"/>
  <c r="R43" i="46"/>
  <c r="R42" i="46"/>
  <c r="R41" i="46"/>
  <c r="R40" i="46"/>
  <c r="R39" i="46"/>
  <c r="R38" i="46"/>
  <c r="R37" i="46"/>
  <c r="R36" i="46"/>
  <c r="R35" i="46"/>
  <c r="R34" i="46"/>
  <c r="R33" i="46"/>
  <c r="R32" i="46"/>
  <c r="R31" i="46"/>
  <c r="R30" i="46"/>
  <c r="R29" i="46"/>
  <c r="R28" i="46"/>
  <c r="R27" i="46"/>
  <c r="R26" i="46"/>
  <c r="R25" i="46"/>
  <c r="R24" i="46"/>
  <c r="R23" i="46"/>
  <c r="R22" i="46"/>
  <c r="R21" i="46"/>
  <c r="R20" i="46"/>
  <c r="R19" i="46"/>
  <c r="R18" i="46"/>
  <c r="R17" i="46"/>
  <c r="S17" i="46"/>
  <c r="T97" i="46"/>
  <c r="T96" i="46"/>
  <c r="T95" i="46"/>
  <c r="T94" i="46"/>
  <c r="T93" i="46"/>
  <c r="T92" i="46"/>
  <c r="T91" i="46"/>
  <c r="T90" i="46"/>
  <c r="T89" i="46"/>
  <c r="T88" i="46"/>
  <c r="T87" i="46"/>
  <c r="T86" i="46"/>
  <c r="T85" i="46"/>
  <c r="T84" i="46"/>
  <c r="T83" i="46"/>
  <c r="T82" i="46"/>
  <c r="T81" i="46"/>
  <c r="T80" i="46"/>
  <c r="T79" i="46"/>
  <c r="T78" i="46"/>
  <c r="T77" i="46"/>
  <c r="T76" i="46"/>
  <c r="T75" i="46"/>
  <c r="T74" i="46"/>
  <c r="T73" i="46"/>
  <c r="T72" i="46"/>
  <c r="T71" i="46"/>
  <c r="T70" i="46"/>
  <c r="T69" i="46"/>
  <c r="T68" i="46"/>
  <c r="T67" i="46"/>
  <c r="T66" i="46"/>
  <c r="T65" i="46"/>
  <c r="T64" i="46"/>
  <c r="T63" i="46"/>
  <c r="T62" i="46"/>
  <c r="T61" i="46"/>
  <c r="T60" i="46"/>
  <c r="T59" i="46"/>
  <c r="T58" i="46"/>
  <c r="T57" i="46"/>
  <c r="T56" i="46"/>
  <c r="T55" i="46"/>
  <c r="T54" i="46"/>
  <c r="T53" i="46"/>
  <c r="T52" i="46"/>
  <c r="T51" i="46"/>
  <c r="T50" i="46"/>
  <c r="T49" i="46"/>
  <c r="T48" i="46"/>
  <c r="T47" i="46"/>
  <c r="T46" i="46"/>
  <c r="T45" i="46"/>
  <c r="T44" i="46"/>
  <c r="T43" i="46"/>
  <c r="T42" i="46"/>
  <c r="T41" i="46"/>
  <c r="T40" i="46"/>
  <c r="T39" i="46"/>
  <c r="T38" i="46"/>
  <c r="T37" i="46"/>
  <c r="T36" i="46"/>
  <c r="T35" i="46"/>
  <c r="T34" i="46"/>
  <c r="T33" i="46"/>
  <c r="T32" i="46"/>
  <c r="T31" i="46"/>
  <c r="T30" i="46"/>
  <c r="T29" i="46"/>
  <c r="T28" i="46"/>
  <c r="T27" i="46"/>
  <c r="T26" i="46"/>
  <c r="T25" i="46"/>
  <c r="T24" i="46"/>
  <c r="T23" i="46"/>
  <c r="T22" i="46"/>
  <c r="T21" i="46"/>
  <c r="T20" i="46"/>
  <c r="T19" i="46"/>
  <c r="T18" i="46"/>
  <c r="T17" i="46"/>
  <c r="U17" i="46"/>
  <c r="V17" i="46"/>
  <c r="W17" i="46"/>
  <c r="X17" i="46"/>
  <c r="Y17" i="46"/>
  <c r="Z17" i="46"/>
  <c r="AA17" i="46"/>
  <c r="AB17" i="46"/>
  <c r="AC17" i="46"/>
  <c r="AD17" i="46"/>
  <c r="AE17" i="46"/>
  <c r="AF17" i="46"/>
  <c r="AG17" i="46"/>
  <c r="D18" i="46"/>
  <c r="O18" i="46"/>
  <c r="P18" i="46"/>
  <c r="Q18" i="46"/>
  <c r="U18" i="46"/>
  <c r="V18" i="46"/>
  <c r="W18" i="46"/>
  <c r="X18" i="46"/>
  <c r="Y18" i="46"/>
  <c r="Z18" i="46"/>
  <c r="AA18" i="46"/>
  <c r="AB18" i="46"/>
  <c r="AC18" i="46"/>
  <c r="AD18" i="46"/>
  <c r="AE18" i="46"/>
  <c r="AF18" i="46"/>
  <c r="AG18" i="46"/>
  <c r="D19" i="46"/>
  <c r="O19" i="46"/>
  <c r="P19" i="46"/>
  <c r="Q19" i="46"/>
  <c r="U19" i="46"/>
  <c r="V19" i="46"/>
  <c r="W19" i="46"/>
  <c r="X19" i="46"/>
  <c r="Y19" i="46"/>
  <c r="Z19" i="46"/>
  <c r="AA19" i="46"/>
  <c r="AB19" i="46"/>
  <c r="AC19" i="46"/>
  <c r="AD19" i="46"/>
  <c r="AE19" i="46"/>
  <c r="AF19" i="46"/>
  <c r="AG19" i="46"/>
  <c r="D20" i="46"/>
  <c r="O20" i="46"/>
  <c r="P20" i="46"/>
  <c r="Q20" i="46"/>
  <c r="U20" i="46"/>
  <c r="V20" i="46"/>
  <c r="W20" i="46"/>
  <c r="X20" i="46"/>
  <c r="Y20" i="46"/>
  <c r="Z20" i="46"/>
  <c r="AA20" i="46"/>
  <c r="AB20" i="46"/>
  <c r="AC20" i="46"/>
  <c r="AD20" i="46"/>
  <c r="AE20" i="46"/>
  <c r="AF20" i="46"/>
  <c r="AG20" i="46"/>
  <c r="D21" i="46"/>
  <c r="O21" i="46"/>
  <c r="P21" i="46"/>
  <c r="Q21" i="46"/>
  <c r="U21" i="46"/>
  <c r="V21" i="46"/>
  <c r="W21" i="46"/>
  <c r="X21" i="46"/>
  <c r="Y21" i="46"/>
  <c r="Z21" i="46"/>
  <c r="AA21" i="46"/>
  <c r="AB21" i="46"/>
  <c r="AC21" i="46"/>
  <c r="AD21" i="46"/>
  <c r="AE21" i="46"/>
  <c r="AF21" i="46"/>
  <c r="AG21" i="46"/>
  <c r="D22" i="46"/>
  <c r="O22" i="46"/>
  <c r="P22" i="46"/>
  <c r="Q22" i="46"/>
  <c r="U22" i="46"/>
  <c r="V22" i="46"/>
  <c r="W22" i="46"/>
  <c r="X22" i="46"/>
  <c r="Y22" i="46"/>
  <c r="Z22" i="46"/>
  <c r="AA22" i="46"/>
  <c r="AB22" i="46"/>
  <c r="AC22" i="46"/>
  <c r="AD22" i="46"/>
  <c r="AE22" i="46"/>
  <c r="AF22" i="46"/>
  <c r="AG22" i="46"/>
  <c r="D23" i="46"/>
  <c r="O23" i="46"/>
  <c r="P23" i="46"/>
  <c r="Q23" i="46"/>
  <c r="U23" i="46"/>
  <c r="V23" i="46"/>
  <c r="W23" i="46"/>
  <c r="X23" i="46"/>
  <c r="Y23" i="46"/>
  <c r="Z23" i="46"/>
  <c r="AA23" i="46"/>
  <c r="AB23" i="46"/>
  <c r="AC23" i="46"/>
  <c r="AD23" i="46"/>
  <c r="AE23" i="46"/>
  <c r="AF23" i="46"/>
  <c r="AG23" i="46"/>
  <c r="D24" i="46"/>
  <c r="O24" i="46"/>
  <c r="P24" i="46"/>
  <c r="Q24" i="46"/>
  <c r="U24" i="46"/>
  <c r="V24" i="46"/>
  <c r="W24" i="46"/>
  <c r="X24" i="46"/>
  <c r="Y24" i="46"/>
  <c r="Z24" i="46"/>
  <c r="AA24" i="46"/>
  <c r="AB24" i="46"/>
  <c r="AC24" i="46"/>
  <c r="AD24" i="46"/>
  <c r="AE24" i="46"/>
  <c r="AF24" i="46"/>
  <c r="AG24" i="46"/>
  <c r="D25" i="46"/>
  <c r="O25" i="46"/>
  <c r="P25" i="46"/>
  <c r="Q25" i="46"/>
  <c r="U25" i="46"/>
  <c r="V25" i="46"/>
  <c r="W25" i="46"/>
  <c r="X25" i="46"/>
  <c r="Y25" i="46"/>
  <c r="Z25" i="46"/>
  <c r="AA25" i="46"/>
  <c r="AB25" i="46"/>
  <c r="AC25" i="46"/>
  <c r="AD25" i="46"/>
  <c r="AE25" i="46"/>
  <c r="AF25" i="46"/>
  <c r="AG25" i="46"/>
  <c r="D26" i="46"/>
  <c r="O26" i="46"/>
  <c r="P26" i="46"/>
  <c r="Q26" i="46"/>
  <c r="U26" i="46"/>
  <c r="V26" i="46"/>
  <c r="W26" i="46"/>
  <c r="X26" i="46"/>
  <c r="Y26" i="46"/>
  <c r="Z26" i="46"/>
  <c r="AA26" i="46"/>
  <c r="AB26" i="46"/>
  <c r="AC26" i="46"/>
  <c r="AD26" i="46"/>
  <c r="AE26" i="46"/>
  <c r="AF26" i="46"/>
  <c r="AG26" i="46"/>
  <c r="D27" i="46"/>
  <c r="O27" i="46"/>
  <c r="P27" i="46"/>
  <c r="Q27" i="46"/>
  <c r="U27" i="46"/>
  <c r="V27" i="46"/>
  <c r="W27" i="46"/>
  <c r="X27" i="46"/>
  <c r="Y27" i="46"/>
  <c r="Z27" i="46"/>
  <c r="AA27" i="46"/>
  <c r="AB27" i="46"/>
  <c r="AC27" i="46"/>
  <c r="AD27" i="46"/>
  <c r="AE27" i="46"/>
  <c r="AF27" i="46"/>
  <c r="AG27" i="46"/>
  <c r="D28" i="46"/>
  <c r="O28" i="46"/>
  <c r="P28" i="46"/>
  <c r="Q28" i="46"/>
  <c r="U28" i="46"/>
  <c r="V28" i="46"/>
  <c r="W28" i="46"/>
  <c r="X28" i="46"/>
  <c r="Y28" i="46"/>
  <c r="Z28" i="46"/>
  <c r="AA28" i="46"/>
  <c r="AB28" i="46"/>
  <c r="AC28" i="46"/>
  <c r="AD28" i="46"/>
  <c r="AE28" i="46"/>
  <c r="AF28" i="46"/>
  <c r="AG28" i="46"/>
  <c r="D29" i="46"/>
  <c r="O29" i="46"/>
  <c r="P29" i="46"/>
  <c r="Q29" i="46"/>
  <c r="U29" i="46"/>
  <c r="V29" i="46"/>
  <c r="W29" i="46"/>
  <c r="X29" i="46"/>
  <c r="Y29" i="46"/>
  <c r="Z29" i="46"/>
  <c r="AA29" i="46"/>
  <c r="AB29" i="46"/>
  <c r="AC29" i="46"/>
  <c r="AD29" i="46"/>
  <c r="AE29" i="46"/>
  <c r="AF29" i="46"/>
  <c r="AG29" i="46"/>
  <c r="D30" i="46"/>
  <c r="O30" i="46"/>
  <c r="P30" i="46"/>
  <c r="Q30" i="46"/>
  <c r="U30" i="46"/>
  <c r="V30" i="46"/>
  <c r="W30" i="46"/>
  <c r="X30" i="46"/>
  <c r="Y30" i="46"/>
  <c r="Z30" i="46"/>
  <c r="AA30" i="46"/>
  <c r="AB30" i="46"/>
  <c r="AC30" i="46"/>
  <c r="AD30" i="46"/>
  <c r="AE30" i="46"/>
  <c r="AF30" i="46"/>
  <c r="AG30" i="46"/>
  <c r="D31" i="46"/>
  <c r="O31" i="46"/>
  <c r="P31" i="46"/>
  <c r="Q31" i="46"/>
  <c r="U31" i="46"/>
  <c r="V31" i="46"/>
  <c r="W31" i="46"/>
  <c r="X31" i="46"/>
  <c r="Y31" i="46"/>
  <c r="Z31" i="46"/>
  <c r="AA31" i="46"/>
  <c r="AB31" i="46"/>
  <c r="AC31" i="46"/>
  <c r="AD31" i="46"/>
  <c r="AE31" i="46"/>
  <c r="AF31" i="46"/>
  <c r="AG31" i="46"/>
  <c r="D32" i="46"/>
  <c r="O32" i="46"/>
  <c r="P32" i="46"/>
  <c r="Q32" i="46"/>
  <c r="U32" i="46"/>
  <c r="V32" i="46"/>
  <c r="W32" i="46"/>
  <c r="X32" i="46"/>
  <c r="Y32" i="46"/>
  <c r="Z32" i="46"/>
  <c r="AA32" i="46"/>
  <c r="AB32" i="46"/>
  <c r="AC32" i="46"/>
  <c r="AD32" i="46"/>
  <c r="AE32" i="46"/>
  <c r="AF32" i="46"/>
  <c r="AG32" i="46"/>
  <c r="D33" i="46"/>
  <c r="O33" i="46"/>
  <c r="P33" i="46"/>
  <c r="Q33" i="46"/>
  <c r="U33" i="46"/>
  <c r="V33" i="46"/>
  <c r="W33" i="46"/>
  <c r="X33" i="46"/>
  <c r="Y33" i="46"/>
  <c r="Z33" i="46"/>
  <c r="AA33" i="46"/>
  <c r="AB33" i="46"/>
  <c r="AC33" i="46"/>
  <c r="AD33" i="46"/>
  <c r="AE33" i="46"/>
  <c r="AF33" i="46"/>
  <c r="AG33" i="46"/>
  <c r="D34" i="46"/>
  <c r="O34" i="46"/>
  <c r="P34" i="46"/>
  <c r="Q34" i="46"/>
  <c r="U34" i="46"/>
  <c r="V34" i="46"/>
  <c r="W34" i="46"/>
  <c r="X34" i="46"/>
  <c r="Y34" i="46"/>
  <c r="Z34" i="46"/>
  <c r="AA34" i="46"/>
  <c r="AB34" i="46"/>
  <c r="AC34" i="46"/>
  <c r="AD34" i="46"/>
  <c r="AE34" i="46"/>
  <c r="AF34" i="46"/>
  <c r="AG34" i="46"/>
  <c r="D35" i="46"/>
  <c r="O35" i="46"/>
  <c r="P35" i="46"/>
  <c r="Q35" i="46"/>
  <c r="U35" i="46"/>
  <c r="V35" i="46"/>
  <c r="W35" i="46"/>
  <c r="X35" i="46"/>
  <c r="Y35" i="46"/>
  <c r="Z35" i="46"/>
  <c r="AA35" i="46"/>
  <c r="AB35" i="46"/>
  <c r="AC35" i="46"/>
  <c r="AD35" i="46"/>
  <c r="AE35" i="46"/>
  <c r="AF35" i="46"/>
  <c r="AG35" i="46"/>
  <c r="D36" i="46"/>
  <c r="O36" i="46"/>
  <c r="P36" i="46"/>
  <c r="Q36" i="46"/>
  <c r="U36" i="46"/>
  <c r="V36" i="46"/>
  <c r="W36" i="46"/>
  <c r="X36" i="46"/>
  <c r="Y36" i="46"/>
  <c r="Z36" i="46"/>
  <c r="AA36" i="46"/>
  <c r="AB36" i="46"/>
  <c r="AC36" i="46"/>
  <c r="AD36" i="46"/>
  <c r="AE36" i="46"/>
  <c r="AF36" i="46"/>
  <c r="AG36" i="46"/>
  <c r="D37" i="46"/>
  <c r="O37" i="46"/>
  <c r="P37" i="46"/>
  <c r="Q37" i="46"/>
  <c r="U37" i="46"/>
  <c r="V37" i="46"/>
  <c r="W37" i="46"/>
  <c r="X37" i="46"/>
  <c r="Y37" i="46"/>
  <c r="Z37" i="46"/>
  <c r="AA37" i="46"/>
  <c r="AB37" i="46"/>
  <c r="AC37" i="46"/>
  <c r="AD37" i="46"/>
  <c r="AE37" i="46"/>
  <c r="AF37" i="46"/>
  <c r="AG37" i="46"/>
  <c r="D38" i="46"/>
  <c r="O38" i="46"/>
  <c r="P38" i="46"/>
  <c r="Q38" i="46"/>
  <c r="U38" i="46"/>
  <c r="V38" i="46"/>
  <c r="W38" i="46"/>
  <c r="X38" i="46"/>
  <c r="Y38" i="46"/>
  <c r="Z38" i="46"/>
  <c r="AA38" i="46"/>
  <c r="AB38" i="46"/>
  <c r="AC38" i="46"/>
  <c r="AD38" i="46"/>
  <c r="AE38" i="46"/>
  <c r="AF38" i="46"/>
  <c r="AG38" i="46"/>
  <c r="D39" i="46"/>
  <c r="O39" i="46"/>
  <c r="P39" i="46"/>
  <c r="Q39" i="46"/>
  <c r="U39" i="46"/>
  <c r="V39" i="46"/>
  <c r="W39" i="46"/>
  <c r="X39" i="46"/>
  <c r="Y39" i="46"/>
  <c r="Z39" i="46"/>
  <c r="AA39" i="46"/>
  <c r="AB39" i="46"/>
  <c r="AC39" i="46"/>
  <c r="AD39" i="46"/>
  <c r="AE39" i="46"/>
  <c r="AF39" i="46"/>
  <c r="AG39" i="46"/>
  <c r="D40" i="46"/>
  <c r="O40" i="46"/>
  <c r="P40" i="46"/>
  <c r="Q40" i="46"/>
  <c r="U40" i="46"/>
  <c r="V40" i="46"/>
  <c r="W40" i="46"/>
  <c r="X40" i="46"/>
  <c r="Y40" i="46"/>
  <c r="Z40" i="46"/>
  <c r="AA40" i="46"/>
  <c r="AB40" i="46"/>
  <c r="AC40" i="46"/>
  <c r="AD40" i="46"/>
  <c r="AE40" i="46"/>
  <c r="AF40" i="46"/>
  <c r="AG40" i="46"/>
  <c r="D41" i="46"/>
  <c r="O41" i="46"/>
  <c r="P41" i="46"/>
  <c r="Q41" i="46"/>
  <c r="U41" i="46"/>
  <c r="V41" i="46"/>
  <c r="W41" i="46"/>
  <c r="X41" i="46"/>
  <c r="Y41" i="46"/>
  <c r="Z41" i="46"/>
  <c r="AA41" i="46"/>
  <c r="AB41" i="46"/>
  <c r="AC41" i="46"/>
  <c r="AD41" i="46"/>
  <c r="AE41" i="46"/>
  <c r="AF41" i="46"/>
  <c r="AG41" i="46"/>
  <c r="D42" i="46"/>
  <c r="O42" i="46"/>
  <c r="P42" i="46"/>
  <c r="Q42" i="46"/>
  <c r="U42" i="46"/>
  <c r="V42" i="46"/>
  <c r="W42" i="46"/>
  <c r="X42" i="46"/>
  <c r="Y42" i="46"/>
  <c r="Z42" i="46"/>
  <c r="AA42" i="46"/>
  <c r="AB42" i="46"/>
  <c r="AC42" i="46"/>
  <c r="AD42" i="46"/>
  <c r="AE42" i="46"/>
  <c r="AF42" i="46"/>
  <c r="AG42" i="46"/>
  <c r="D43" i="46"/>
  <c r="O43" i="46"/>
  <c r="P43" i="46"/>
  <c r="Q43" i="46"/>
  <c r="U43" i="46"/>
  <c r="V43" i="46"/>
  <c r="W43" i="46"/>
  <c r="X43" i="46"/>
  <c r="Y43" i="46"/>
  <c r="Z43" i="46"/>
  <c r="AA43" i="46"/>
  <c r="AB43" i="46"/>
  <c r="AC43" i="46"/>
  <c r="AD43" i="46"/>
  <c r="AE43" i="46"/>
  <c r="AF43" i="46"/>
  <c r="AG43" i="46"/>
  <c r="D44" i="46"/>
  <c r="O44" i="46"/>
  <c r="P44" i="46"/>
  <c r="Q44" i="46"/>
  <c r="U44" i="46"/>
  <c r="V44" i="46"/>
  <c r="W44" i="46"/>
  <c r="X44" i="46"/>
  <c r="Y44" i="46"/>
  <c r="Z44" i="46"/>
  <c r="AA44" i="46"/>
  <c r="AB44" i="46"/>
  <c r="AC44" i="46"/>
  <c r="AD44" i="46"/>
  <c r="AE44" i="46"/>
  <c r="AF44" i="46"/>
  <c r="AG44" i="46"/>
  <c r="D45" i="46"/>
  <c r="O45" i="46"/>
  <c r="P45" i="46"/>
  <c r="Q45" i="46"/>
  <c r="U45" i="46"/>
  <c r="V45" i="46"/>
  <c r="W45" i="46"/>
  <c r="X45" i="46"/>
  <c r="Y45" i="46"/>
  <c r="Z45" i="46"/>
  <c r="AA45" i="46"/>
  <c r="AB45" i="46"/>
  <c r="AC45" i="46"/>
  <c r="AD45" i="46"/>
  <c r="AE45" i="46"/>
  <c r="AF45" i="46"/>
  <c r="AG45" i="46"/>
  <c r="D46" i="46"/>
  <c r="O46" i="46"/>
  <c r="P46" i="46"/>
  <c r="Q46" i="46"/>
  <c r="U46" i="46"/>
  <c r="V46" i="46"/>
  <c r="W46" i="46"/>
  <c r="X46" i="46"/>
  <c r="Y46" i="46"/>
  <c r="Z46" i="46"/>
  <c r="AA46" i="46"/>
  <c r="AB46" i="46"/>
  <c r="AC46" i="46"/>
  <c r="AD46" i="46"/>
  <c r="AE46" i="46"/>
  <c r="AF46" i="46"/>
  <c r="AG46" i="46"/>
  <c r="D47" i="46"/>
  <c r="O47" i="46"/>
  <c r="P47" i="46"/>
  <c r="Q47" i="46"/>
  <c r="U47" i="46"/>
  <c r="V47" i="46"/>
  <c r="W47" i="46"/>
  <c r="X47" i="46"/>
  <c r="Y47" i="46"/>
  <c r="Z47" i="46"/>
  <c r="AA47" i="46"/>
  <c r="AB47" i="46"/>
  <c r="AC47" i="46"/>
  <c r="AD47" i="46"/>
  <c r="AE47" i="46"/>
  <c r="AF47" i="46"/>
  <c r="AG47" i="46"/>
  <c r="D48" i="46"/>
  <c r="O48" i="46"/>
  <c r="P48" i="46"/>
  <c r="Q48" i="46"/>
  <c r="U48" i="46"/>
  <c r="V48" i="46"/>
  <c r="W48" i="46"/>
  <c r="X48" i="46"/>
  <c r="Y48" i="46"/>
  <c r="Z48" i="46"/>
  <c r="AA48" i="46"/>
  <c r="AB48" i="46"/>
  <c r="AC48" i="46"/>
  <c r="AD48" i="46"/>
  <c r="AE48" i="46"/>
  <c r="AF48" i="46"/>
  <c r="AG48" i="46"/>
  <c r="D49" i="46"/>
  <c r="O49" i="46"/>
  <c r="P49" i="46"/>
  <c r="Q49" i="46"/>
  <c r="U49" i="46"/>
  <c r="V49" i="46"/>
  <c r="W49" i="46"/>
  <c r="X49" i="46"/>
  <c r="Y49" i="46"/>
  <c r="Z49" i="46"/>
  <c r="AA49" i="46"/>
  <c r="AB49" i="46"/>
  <c r="AC49" i="46"/>
  <c r="AD49" i="46"/>
  <c r="AE49" i="46"/>
  <c r="AF49" i="46"/>
  <c r="AG49" i="46"/>
  <c r="D50" i="46"/>
  <c r="O50" i="46"/>
  <c r="P50" i="46"/>
  <c r="Q50" i="46"/>
  <c r="U50" i="46"/>
  <c r="V50" i="46"/>
  <c r="W50" i="46"/>
  <c r="X50" i="46"/>
  <c r="Y50" i="46"/>
  <c r="Z50" i="46"/>
  <c r="AA50" i="46"/>
  <c r="AB50" i="46"/>
  <c r="AC50" i="46"/>
  <c r="AD50" i="46"/>
  <c r="AE50" i="46"/>
  <c r="AF50" i="46"/>
  <c r="AG50" i="46"/>
  <c r="D51" i="46"/>
  <c r="O51" i="46"/>
  <c r="P51" i="46"/>
  <c r="Q51" i="46"/>
  <c r="U51" i="46"/>
  <c r="V51" i="46"/>
  <c r="W51" i="46"/>
  <c r="X51" i="46"/>
  <c r="Y51" i="46"/>
  <c r="Z51" i="46"/>
  <c r="AA51" i="46"/>
  <c r="AB51" i="46"/>
  <c r="AC51" i="46"/>
  <c r="AD51" i="46"/>
  <c r="AE51" i="46"/>
  <c r="AF51" i="46"/>
  <c r="AG51" i="46"/>
  <c r="D52" i="46"/>
  <c r="O52" i="46"/>
  <c r="P52" i="46"/>
  <c r="Q52" i="46"/>
  <c r="U52" i="46"/>
  <c r="V52" i="46"/>
  <c r="W52" i="46"/>
  <c r="X52" i="46"/>
  <c r="Y52" i="46"/>
  <c r="Z52" i="46"/>
  <c r="AA52" i="46"/>
  <c r="AB52" i="46"/>
  <c r="AC52" i="46"/>
  <c r="AD52" i="46"/>
  <c r="AE52" i="46"/>
  <c r="AF52" i="46"/>
  <c r="AG52" i="46"/>
  <c r="D53" i="46"/>
  <c r="O53" i="46"/>
  <c r="P53" i="46"/>
  <c r="Q53" i="46"/>
  <c r="U53" i="46"/>
  <c r="V53" i="46"/>
  <c r="W53" i="46"/>
  <c r="X53" i="46"/>
  <c r="Y53" i="46"/>
  <c r="Z53" i="46"/>
  <c r="AA53" i="46"/>
  <c r="AB53" i="46"/>
  <c r="AC53" i="46"/>
  <c r="AD53" i="46"/>
  <c r="AE53" i="46"/>
  <c r="AF53" i="46"/>
  <c r="AG53" i="46"/>
  <c r="D54" i="46"/>
  <c r="O54" i="46"/>
  <c r="P54" i="46"/>
  <c r="Q54" i="46"/>
  <c r="U54" i="46"/>
  <c r="V54" i="46"/>
  <c r="W54" i="46"/>
  <c r="X54" i="46"/>
  <c r="Y54" i="46"/>
  <c r="Z54" i="46"/>
  <c r="AA54" i="46"/>
  <c r="AB54" i="46"/>
  <c r="AC54" i="46"/>
  <c r="AD54" i="46"/>
  <c r="AE54" i="46"/>
  <c r="AF54" i="46"/>
  <c r="AG54" i="46"/>
  <c r="D55" i="46"/>
  <c r="O55" i="46"/>
  <c r="P55" i="46"/>
  <c r="Q55" i="46"/>
  <c r="U55" i="46"/>
  <c r="V55" i="46"/>
  <c r="W55" i="46"/>
  <c r="X55" i="46"/>
  <c r="Y55" i="46"/>
  <c r="Z55" i="46"/>
  <c r="AA55" i="46"/>
  <c r="AB55" i="46"/>
  <c r="AC55" i="46"/>
  <c r="AD55" i="46"/>
  <c r="AE55" i="46"/>
  <c r="AF55" i="46"/>
  <c r="AG55" i="46"/>
  <c r="D56" i="46"/>
  <c r="O56" i="46"/>
  <c r="P56" i="46"/>
  <c r="Q56" i="46"/>
  <c r="U56" i="46"/>
  <c r="V56" i="46"/>
  <c r="W56" i="46"/>
  <c r="X56" i="46"/>
  <c r="Y56" i="46"/>
  <c r="Z56" i="46"/>
  <c r="AA56" i="46"/>
  <c r="AB56" i="46"/>
  <c r="AC56" i="46"/>
  <c r="AD56" i="46"/>
  <c r="AE56" i="46"/>
  <c r="AF56" i="46"/>
  <c r="AG56" i="46"/>
  <c r="D57" i="46"/>
  <c r="O57" i="46"/>
  <c r="P57" i="46"/>
  <c r="Q57" i="46"/>
  <c r="U57" i="46"/>
  <c r="V57" i="46"/>
  <c r="W57" i="46"/>
  <c r="X57" i="46"/>
  <c r="Y57" i="46"/>
  <c r="Z57" i="46"/>
  <c r="AA57" i="46"/>
  <c r="AB57" i="46"/>
  <c r="AC57" i="46"/>
  <c r="AD57" i="46"/>
  <c r="AE57" i="46"/>
  <c r="AF57" i="46"/>
  <c r="AG57" i="46"/>
  <c r="D58" i="46"/>
  <c r="O58" i="46"/>
  <c r="P58" i="46"/>
  <c r="Q58" i="46"/>
  <c r="U58" i="46"/>
  <c r="V58" i="46"/>
  <c r="W58" i="46"/>
  <c r="X58" i="46"/>
  <c r="Y58" i="46"/>
  <c r="Z58" i="46"/>
  <c r="AA58" i="46"/>
  <c r="AB58" i="46"/>
  <c r="AC58" i="46"/>
  <c r="AD58" i="46"/>
  <c r="AE58" i="46"/>
  <c r="AF58" i="46"/>
  <c r="AG58" i="46"/>
  <c r="D59" i="46"/>
  <c r="O59" i="46"/>
  <c r="P59" i="46"/>
  <c r="Q59" i="46"/>
  <c r="U59" i="46"/>
  <c r="V59" i="46"/>
  <c r="W59" i="46"/>
  <c r="X59" i="46"/>
  <c r="Y59" i="46"/>
  <c r="Z59" i="46"/>
  <c r="AA59" i="46"/>
  <c r="AB59" i="46"/>
  <c r="AC59" i="46"/>
  <c r="AD59" i="46"/>
  <c r="AE59" i="46"/>
  <c r="AF59" i="46"/>
  <c r="AG59" i="46"/>
  <c r="D60" i="46"/>
  <c r="O60" i="46"/>
  <c r="P60" i="46"/>
  <c r="Q60" i="46"/>
  <c r="U60" i="46"/>
  <c r="V60" i="46"/>
  <c r="W60" i="46"/>
  <c r="X60" i="46"/>
  <c r="Y60" i="46"/>
  <c r="Z60" i="46"/>
  <c r="AA60" i="46"/>
  <c r="AB60" i="46"/>
  <c r="AC60" i="46"/>
  <c r="AD60" i="46"/>
  <c r="AE60" i="46"/>
  <c r="AF60" i="46"/>
  <c r="AG60" i="46"/>
  <c r="D61" i="46"/>
  <c r="O61" i="46"/>
  <c r="P61" i="46"/>
  <c r="Q61" i="46"/>
  <c r="U61" i="46"/>
  <c r="V61" i="46"/>
  <c r="W61" i="46"/>
  <c r="X61" i="46"/>
  <c r="Y61" i="46"/>
  <c r="Z61" i="46"/>
  <c r="AA61" i="46"/>
  <c r="AB61" i="46"/>
  <c r="AC61" i="46"/>
  <c r="AD61" i="46"/>
  <c r="AE61" i="46"/>
  <c r="AF61" i="46"/>
  <c r="AG61" i="46"/>
  <c r="D62" i="46"/>
  <c r="O62" i="46"/>
  <c r="P62" i="46"/>
  <c r="Q62" i="46"/>
  <c r="U62" i="46"/>
  <c r="V62" i="46"/>
  <c r="W62" i="46"/>
  <c r="X62" i="46"/>
  <c r="Y62" i="46"/>
  <c r="Z62" i="46"/>
  <c r="AA62" i="46"/>
  <c r="AB62" i="46"/>
  <c r="AC62" i="46"/>
  <c r="AD62" i="46"/>
  <c r="AE62" i="46"/>
  <c r="AF62" i="46"/>
  <c r="AG62" i="46"/>
  <c r="D63" i="46"/>
  <c r="O63" i="46"/>
  <c r="P63" i="46"/>
  <c r="Q63" i="46"/>
  <c r="U63" i="46"/>
  <c r="V63" i="46"/>
  <c r="W63" i="46"/>
  <c r="X63" i="46"/>
  <c r="Y63" i="46"/>
  <c r="Z63" i="46"/>
  <c r="AA63" i="46"/>
  <c r="AB63" i="46"/>
  <c r="AC63" i="46"/>
  <c r="AD63" i="46"/>
  <c r="AE63" i="46"/>
  <c r="AF63" i="46"/>
  <c r="AG63" i="46"/>
  <c r="D64" i="46"/>
  <c r="O64" i="46"/>
  <c r="P64" i="46"/>
  <c r="Q64" i="46"/>
  <c r="U64" i="46"/>
  <c r="V64" i="46"/>
  <c r="W64" i="46"/>
  <c r="X64" i="46"/>
  <c r="Y64" i="46"/>
  <c r="Z64" i="46"/>
  <c r="AA64" i="46"/>
  <c r="AB64" i="46"/>
  <c r="AC64" i="46"/>
  <c r="AD64" i="46"/>
  <c r="AE64" i="46"/>
  <c r="AF64" i="46"/>
  <c r="AG64" i="46"/>
  <c r="D65" i="46"/>
  <c r="O65" i="46"/>
  <c r="P65" i="46"/>
  <c r="Q65" i="46"/>
  <c r="U65" i="46"/>
  <c r="V65" i="46"/>
  <c r="W65" i="46"/>
  <c r="X65" i="46"/>
  <c r="Y65" i="46"/>
  <c r="Z65" i="46"/>
  <c r="AA65" i="46"/>
  <c r="AB65" i="46"/>
  <c r="AC65" i="46"/>
  <c r="AD65" i="46"/>
  <c r="AE65" i="46"/>
  <c r="AF65" i="46"/>
  <c r="AG65" i="46"/>
  <c r="D66" i="46"/>
  <c r="O66" i="46"/>
  <c r="P66" i="46"/>
  <c r="Q66" i="46"/>
  <c r="U66" i="46"/>
  <c r="V66" i="46"/>
  <c r="W66" i="46"/>
  <c r="X66" i="46"/>
  <c r="Y66" i="46"/>
  <c r="Z66" i="46"/>
  <c r="AA66" i="46"/>
  <c r="AB66" i="46"/>
  <c r="AC66" i="46"/>
  <c r="AD66" i="46"/>
  <c r="AE66" i="46"/>
  <c r="AF66" i="46"/>
  <c r="AG66" i="46"/>
  <c r="D67" i="46"/>
  <c r="O67" i="46"/>
  <c r="P67" i="46"/>
  <c r="Q67" i="46"/>
  <c r="U67" i="46"/>
  <c r="V67" i="46"/>
  <c r="W67" i="46"/>
  <c r="X67" i="46"/>
  <c r="Y67" i="46"/>
  <c r="Z67" i="46"/>
  <c r="AA67" i="46"/>
  <c r="AB67" i="46"/>
  <c r="AC67" i="46"/>
  <c r="AD67" i="46"/>
  <c r="AE67" i="46"/>
  <c r="AF67" i="46"/>
  <c r="AG67" i="46"/>
  <c r="D68" i="46"/>
  <c r="O68" i="46"/>
  <c r="P68" i="46"/>
  <c r="Q68" i="46"/>
  <c r="U68" i="46"/>
  <c r="V68" i="46"/>
  <c r="W68" i="46"/>
  <c r="X68" i="46"/>
  <c r="Y68" i="46"/>
  <c r="Z68" i="46"/>
  <c r="AA68" i="46"/>
  <c r="AB68" i="46"/>
  <c r="AC68" i="46"/>
  <c r="AD68" i="46"/>
  <c r="AE68" i="46"/>
  <c r="AF68" i="46"/>
  <c r="AG68" i="46"/>
  <c r="D69" i="46"/>
  <c r="O69" i="46"/>
  <c r="P69" i="46"/>
  <c r="Q69" i="46"/>
  <c r="U69" i="46"/>
  <c r="V69" i="46"/>
  <c r="W69" i="46"/>
  <c r="X69" i="46"/>
  <c r="Y69" i="46"/>
  <c r="Z69" i="46"/>
  <c r="AA69" i="46"/>
  <c r="AB69" i="46"/>
  <c r="AC69" i="46"/>
  <c r="AD69" i="46"/>
  <c r="AE69" i="46"/>
  <c r="AF69" i="46"/>
  <c r="AG69" i="46"/>
  <c r="D70" i="46"/>
  <c r="O70" i="46"/>
  <c r="P70" i="46"/>
  <c r="Q70" i="46"/>
  <c r="U70" i="46"/>
  <c r="V70" i="46"/>
  <c r="W70" i="46"/>
  <c r="X70" i="46"/>
  <c r="Y70" i="46"/>
  <c r="Z70" i="46"/>
  <c r="AA70" i="46"/>
  <c r="AB70" i="46"/>
  <c r="AC70" i="46"/>
  <c r="AD70" i="46"/>
  <c r="AE70" i="46"/>
  <c r="AF70" i="46"/>
  <c r="AG70" i="46"/>
  <c r="D71" i="46"/>
  <c r="O71" i="46"/>
  <c r="P71" i="46"/>
  <c r="Q71" i="46"/>
  <c r="U71" i="46"/>
  <c r="V71" i="46"/>
  <c r="W71" i="46"/>
  <c r="X71" i="46"/>
  <c r="Y71" i="46"/>
  <c r="Z71" i="46"/>
  <c r="AA71" i="46"/>
  <c r="AB71" i="46"/>
  <c r="AC71" i="46"/>
  <c r="AD71" i="46"/>
  <c r="AE71" i="46"/>
  <c r="AF71" i="46"/>
  <c r="AG71" i="46"/>
  <c r="D72" i="46"/>
  <c r="O72" i="46"/>
  <c r="P72" i="46"/>
  <c r="Q72" i="46"/>
  <c r="U72" i="46"/>
  <c r="V72" i="46"/>
  <c r="W72" i="46"/>
  <c r="X72" i="46"/>
  <c r="Y72" i="46"/>
  <c r="Z72" i="46"/>
  <c r="AA72" i="46"/>
  <c r="AB72" i="46"/>
  <c r="AC72" i="46"/>
  <c r="AD72" i="46"/>
  <c r="AE72" i="46"/>
  <c r="AF72" i="46"/>
  <c r="AG72" i="46"/>
  <c r="D73" i="46"/>
  <c r="O73" i="46"/>
  <c r="P73" i="46"/>
  <c r="Q73" i="46"/>
  <c r="U73" i="46"/>
  <c r="V73" i="46"/>
  <c r="W73" i="46"/>
  <c r="X73" i="46"/>
  <c r="Y73" i="46"/>
  <c r="Z73" i="46"/>
  <c r="AA73" i="46"/>
  <c r="AB73" i="46"/>
  <c r="AC73" i="46"/>
  <c r="AD73" i="46"/>
  <c r="AE73" i="46"/>
  <c r="AF73" i="46"/>
  <c r="AG73" i="46"/>
  <c r="D74" i="46"/>
  <c r="O74" i="46"/>
  <c r="P74" i="46"/>
  <c r="Q74" i="46"/>
  <c r="U74" i="46"/>
  <c r="V74" i="46"/>
  <c r="W74" i="46"/>
  <c r="X74" i="46"/>
  <c r="Y74" i="46"/>
  <c r="Z74" i="46"/>
  <c r="AA74" i="46"/>
  <c r="AB74" i="46"/>
  <c r="AC74" i="46"/>
  <c r="AD74" i="46"/>
  <c r="AE74" i="46"/>
  <c r="AF74" i="46"/>
  <c r="AG74" i="46"/>
  <c r="D75" i="46"/>
  <c r="O75" i="46"/>
  <c r="P75" i="46"/>
  <c r="Q75" i="46"/>
  <c r="U75" i="46"/>
  <c r="V75" i="46"/>
  <c r="W75" i="46"/>
  <c r="X75" i="46"/>
  <c r="Y75" i="46"/>
  <c r="Z75" i="46"/>
  <c r="AA75" i="46"/>
  <c r="AB75" i="46"/>
  <c r="AC75" i="46"/>
  <c r="AD75" i="46"/>
  <c r="AE75" i="46"/>
  <c r="AF75" i="46"/>
  <c r="AG75" i="46"/>
  <c r="D76" i="46"/>
  <c r="O76" i="46"/>
  <c r="P76" i="46"/>
  <c r="Q76" i="46"/>
  <c r="U76" i="46"/>
  <c r="V76" i="46"/>
  <c r="W76" i="46"/>
  <c r="X76" i="46"/>
  <c r="Y76" i="46"/>
  <c r="Z76" i="46"/>
  <c r="AA76" i="46"/>
  <c r="AB76" i="46"/>
  <c r="AC76" i="46"/>
  <c r="AD76" i="46"/>
  <c r="AE76" i="46"/>
  <c r="AF76" i="46"/>
  <c r="AG76" i="46"/>
  <c r="D77" i="46"/>
  <c r="O77" i="46"/>
  <c r="P77" i="46"/>
  <c r="Q77" i="46"/>
  <c r="U77" i="46"/>
  <c r="V77" i="46"/>
  <c r="W77" i="46"/>
  <c r="X77" i="46"/>
  <c r="Y77" i="46"/>
  <c r="Z77" i="46"/>
  <c r="AA77" i="46"/>
  <c r="AB77" i="46"/>
  <c r="AC77" i="46"/>
  <c r="AD77" i="46"/>
  <c r="AE77" i="46"/>
  <c r="AF77" i="46"/>
  <c r="AG77" i="46"/>
  <c r="D78" i="46"/>
  <c r="O78" i="46"/>
  <c r="P78" i="46"/>
  <c r="Q78" i="46"/>
  <c r="U78" i="46"/>
  <c r="V78" i="46"/>
  <c r="W78" i="46"/>
  <c r="X78" i="46"/>
  <c r="Y78" i="46"/>
  <c r="Z78" i="46"/>
  <c r="AA78" i="46"/>
  <c r="AB78" i="46"/>
  <c r="AC78" i="46"/>
  <c r="AD78" i="46"/>
  <c r="AE78" i="46"/>
  <c r="AF78" i="46"/>
  <c r="AG78" i="46"/>
  <c r="D79" i="46"/>
  <c r="O79" i="46"/>
  <c r="P79" i="46"/>
  <c r="Q79" i="46"/>
  <c r="U79" i="46"/>
  <c r="V79" i="46"/>
  <c r="W79" i="46"/>
  <c r="X79" i="46"/>
  <c r="Y79" i="46"/>
  <c r="Z79" i="46"/>
  <c r="AA79" i="46"/>
  <c r="AB79" i="46"/>
  <c r="AC79" i="46"/>
  <c r="AD79" i="46"/>
  <c r="AE79" i="46"/>
  <c r="AF79" i="46"/>
  <c r="AG79" i="46"/>
  <c r="D80" i="46"/>
  <c r="O80" i="46"/>
  <c r="P80" i="46"/>
  <c r="Q80" i="46"/>
  <c r="U80" i="46"/>
  <c r="V80" i="46"/>
  <c r="W80" i="46"/>
  <c r="X80" i="46"/>
  <c r="Y80" i="46"/>
  <c r="Z80" i="46"/>
  <c r="AA80" i="46"/>
  <c r="AB80" i="46"/>
  <c r="AC80" i="46"/>
  <c r="AD80" i="46"/>
  <c r="AE80" i="46"/>
  <c r="AF80" i="46"/>
  <c r="AG80" i="46"/>
  <c r="D81" i="46"/>
  <c r="O81" i="46"/>
  <c r="P81" i="46"/>
  <c r="Q81" i="46"/>
  <c r="U81" i="46"/>
  <c r="V81" i="46"/>
  <c r="W81" i="46"/>
  <c r="X81" i="46"/>
  <c r="Y81" i="46"/>
  <c r="Z81" i="46"/>
  <c r="AA81" i="46"/>
  <c r="AB81" i="46"/>
  <c r="AC81" i="46"/>
  <c r="AD81" i="46"/>
  <c r="AE81" i="46"/>
  <c r="AF81" i="46"/>
  <c r="AG81" i="46"/>
  <c r="D82" i="46"/>
  <c r="O82" i="46"/>
  <c r="P82" i="46"/>
  <c r="Q82" i="46"/>
  <c r="U82" i="46"/>
  <c r="V82" i="46"/>
  <c r="W82" i="46"/>
  <c r="X82" i="46"/>
  <c r="Y82" i="46"/>
  <c r="Z82" i="46"/>
  <c r="AA82" i="46"/>
  <c r="AB82" i="46"/>
  <c r="AC82" i="46"/>
  <c r="AD82" i="46"/>
  <c r="AE82" i="46"/>
  <c r="AF82" i="46"/>
  <c r="AG82" i="46"/>
  <c r="D83" i="46"/>
  <c r="O83" i="46"/>
  <c r="P83" i="46"/>
  <c r="Q83" i="46"/>
  <c r="U83" i="46"/>
  <c r="V83" i="46"/>
  <c r="W83" i="46"/>
  <c r="X83" i="46"/>
  <c r="Y83" i="46"/>
  <c r="Z83" i="46"/>
  <c r="AA83" i="46"/>
  <c r="AB83" i="46"/>
  <c r="AC83" i="46"/>
  <c r="AD83" i="46"/>
  <c r="AE83" i="46"/>
  <c r="AF83" i="46"/>
  <c r="AG83" i="46"/>
  <c r="D84" i="46"/>
  <c r="O84" i="46"/>
  <c r="P84" i="46"/>
  <c r="Q84" i="46"/>
  <c r="U84" i="46"/>
  <c r="V84" i="46"/>
  <c r="W84" i="46"/>
  <c r="X84" i="46"/>
  <c r="Y84" i="46"/>
  <c r="Z84" i="46"/>
  <c r="AA84" i="46"/>
  <c r="AB84" i="46"/>
  <c r="AC84" i="46"/>
  <c r="AD84" i="46"/>
  <c r="AE84" i="46"/>
  <c r="AF84" i="46"/>
  <c r="AG84" i="46"/>
  <c r="D85" i="46"/>
  <c r="O85" i="46"/>
  <c r="P85" i="46"/>
  <c r="Q85" i="46"/>
  <c r="U85" i="46"/>
  <c r="V85" i="46"/>
  <c r="W85" i="46"/>
  <c r="X85" i="46"/>
  <c r="Y85" i="46"/>
  <c r="Z85" i="46"/>
  <c r="AA85" i="46"/>
  <c r="AB85" i="46"/>
  <c r="AC85" i="46"/>
  <c r="AD85" i="46"/>
  <c r="AE85" i="46"/>
  <c r="AF85" i="46"/>
  <c r="AG85" i="46"/>
  <c r="D86" i="46"/>
  <c r="O86" i="46"/>
  <c r="P86" i="46"/>
  <c r="Q86" i="46"/>
  <c r="U86" i="46"/>
  <c r="V86" i="46"/>
  <c r="W86" i="46"/>
  <c r="X86" i="46"/>
  <c r="Y86" i="46"/>
  <c r="Z86" i="46"/>
  <c r="AA86" i="46"/>
  <c r="AB86" i="46"/>
  <c r="AC86" i="46"/>
  <c r="AD86" i="46"/>
  <c r="AE86" i="46"/>
  <c r="AF86" i="46"/>
  <c r="AG86" i="46"/>
  <c r="D87" i="46"/>
  <c r="O87" i="46"/>
  <c r="P87" i="46"/>
  <c r="Q87" i="46"/>
  <c r="U87" i="46"/>
  <c r="V87" i="46"/>
  <c r="W87" i="46"/>
  <c r="X87" i="46"/>
  <c r="Y87" i="46"/>
  <c r="Z87" i="46"/>
  <c r="AA87" i="46"/>
  <c r="AB87" i="46"/>
  <c r="AC87" i="46"/>
  <c r="AD87" i="46"/>
  <c r="AE87" i="46"/>
  <c r="AF87" i="46"/>
  <c r="AG87" i="46"/>
  <c r="D88" i="46"/>
  <c r="O88" i="46"/>
  <c r="P88" i="46"/>
  <c r="Q88" i="46"/>
  <c r="U88" i="46"/>
  <c r="V88" i="46"/>
  <c r="W88" i="46"/>
  <c r="X88" i="46"/>
  <c r="Y88" i="46"/>
  <c r="Z88" i="46"/>
  <c r="AA88" i="46"/>
  <c r="AB88" i="46"/>
  <c r="AC88" i="46"/>
  <c r="AD88" i="46"/>
  <c r="AE88" i="46"/>
  <c r="AF88" i="46"/>
  <c r="AG88" i="46"/>
  <c r="D89" i="46"/>
  <c r="O89" i="46"/>
  <c r="P89" i="46"/>
  <c r="Q89" i="46"/>
  <c r="U89" i="46"/>
  <c r="V89" i="46"/>
  <c r="W89" i="46"/>
  <c r="X89" i="46"/>
  <c r="Y89" i="46"/>
  <c r="Z89" i="46"/>
  <c r="AA89" i="46"/>
  <c r="AB89" i="46"/>
  <c r="AC89" i="46"/>
  <c r="AD89" i="46"/>
  <c r="AE89" i="46"/>
  <c r="AF89" i="46"/>
  <c r="AG89" i="46"/>
  <c r="D90" i="46"/>
  <c r="O90" i="46"/>
  <c r="P90" i="46"/>
  <c r="Q90" i="46"/>
  <c r="U90" i="46"/>
  <c r="V90" i="46"/>
  <c r="W90" i="46"/>
  <c r="X90" i="46"/>
  <c r="Y90" i="46"/>
  <c r="Z90" i="46"/>
  <c r="AA90" i="46"/>
  <c r="AB90" i="46"/>
  <c r="AC90" i="46"/>
  <c r="AD90" i="46"/>
  <c r="AE90" i="46"/>
  <c r="AF90" i="46"/>
  <c r="AG90" i="46"/>
  <c r="D91" i="46"/>
  <c r="O91" i="46"/>
  <c r="P91" i="46"/>
  <c r="Q91" i="46"/>
  <c r="U91" i="46"/>
  <c r="V91" i="46"/>
  <c r="W91" i="46"/>
  <c r="X91" i="46"/>
  <c r="Y91" i="46"/>
  <c r="Z91" i="46"/>
  <c r="AA91" i="46"/>
  <c r="AB91" i="46"/>
  <c r="AC91" i="46"/>
  <c r="AD91" i="46"/>
  <c r="AE91" i="46"/>
  <c r="AF91" i="46"/>
  <c r="AG91" i="46"/>
  <c r="D92" i="46"/>
  <c r="O92" i="46"/>
  <c r="P92" i="46"/>
  <c r="Q92" i="46"/>
  <c r="U92" i="46"/>
  <c r="V92" i="46"/>
  <c r="W92" i="46"/>
  <c r="X92" i="46"/>
  <c r="Y92" i="46"/>
  <c r="Z92" i="46"/>
  <c r="AA92" i="46"/>
  <c r="AB92" i="46"/>
  <c r="AC92" i="46"/>
  <c r="AD92" i="46"/>
  <c r="AE92" i="46"/>
  <c r="AF92" i="46"/>
  <c r="AG92" i="46"/>
  <c r="D93" i="46"/>
  <c r="O93" i="46"/>
  <c r="P93" i="46"/>
  <c r="Q93" i="46"/>
  <c r="U93" i="46"/>
  <c r="V93" i="46"/>
  <c r="W93" i="46"/>
  <c r="X93" i="46"/>
  <c r="Y93" i="46"/>
  <c r="Z93" i="46"/>
  <c r="AA93" i="46"/>
  <c r="AB93" i="46"/>
  <c r="AC93" i="46"/>
  <c r="AD93" i="46"/>
  <c r="AE93" i="46"/>
  <c r="AF93" i="46"/>
  <c r="AG93" i="46"/>
  <c r="D94" i="46"/>
  <c r="O94" i="46"/>
  <c r="P94" i="46"/>
  <c r="Q94" i="46"/>
  <c r="U94" i="46"/>
  <c r="V94" i="46"/>
  <c r="W94" i="46"/>
  <c r="X94" i="46"/>
  <c r="Y94" i="46"/>
  <c r="Z94" i="46"/>
  <c r="AA94" i="46"/>
  <c r="AB94" i="46"/>
  <c r="AC94" i="46"/>
  <c r="AD94" i="46"/>
  <c r="AE94" i="46"/>
  <c r="AF94" i="46"/>
  <c r="AG94" i="46"/>
  <c r="D95" i="46"/>
  <c r="O95" i="46"/>
  <c r="P95" i="46"/>
  <c r="Q95" i="46"/>
  <c r="U95" i="46"/>
  <c r="V95" i="46"/>
  <c r="W95" i="46"/>
  <c r="X95" i="46"/>
  <c r="Y95" i="46"/>
  <c r="Z95" i="46"/>
  <c r="AA95" i="46"/>
  <c r="AB95" i="46"/>
  <c r="AC95" i="46"/>
  <c r="AD95" i="46"/>
  <c r="AE95" i="46"/>
  <c r="AF95" i="46"/>
  <c r="AG95" i="46"/>
  <c r="D96" i="46"/>
  <c r="O96" i="46"/>
  <c r="P96" i="46"/>
  <c r="Q96" i="46"/>
  <c r="U96" i="46"/>
  <c r="V96" i="46"/>
  <c r="W96" i="46"/>
  <c r="X96" i="46"/>
  <c r="Y96" i="46"/>
  <c r="Z96" i="46"/>
  <c r="AA96" i="46"/>
  <c r="AB96" i="46"/>
  <c r="AC96" i="46"/>
  <c r="AD96" i="46"/>
  <c r="AE96" i="46"/>
  <c r="AF96" i="46"/>
  <c r="AG96" i="46"/>
  <c r="D97" i="46"/>
  <c r="O97" i="46"/>
  <c r="P97" i="46"/>
  <c r="Q97" i="46"/>
  <c r="U97" i="46"/>
  <c r="V97" i="46"/>
  <c r="W97" i="46"/>
  <c r="X97" i="46"/>
  <c r="Y97" i="46"/>
  <c r="Z97" i="46"/>
  <c r="AA97" i="46"/>
  <c r="AB97" i="46"/>
  <c r="AC97" i="46"/>
  <c r="AD97" i="46"/>
  <c r="AE97" i="46"/>
  <c r="AF97" i="46"/>
  <c r="AG97" i="46"/>
  <c r="D17" i="47"/>
  <c r="I17" i="47"/>
  <c r="M17" i="47"/>
  <c r="N17" i="47"/>
  <c r="O17" i="47"/>
  <c r="P17" i="47"/>
  <c r="Q17" i="47"/>
  <c r="M139" i="47"/>
  <c r="I139" i="47"/>
  <c r="N139" i="47"/>
  <c r="S139" i="47"/>
  <c r="M138" i="47"/>
  <c r="I138" i="47"/>
  <c r="N138" i="47"/>
  <c r="S138" i="47"/>
  <c r="M137" i="47"/>
  <c r="I137" i="47"/>
  <c r="N137" i="47"/>
  <c r="S137" i="47"/>
  <c r="M136" i="47"/>
  <c r="I136" i="47"/>
  <c r="N136" i="47"/>
  <c r="S136" i="47"/>
  <c r="M135" i="47"/>
  <c r="I135" i="47"/>
  <c r="N135" i="47"/>
  <c r="S135" i="47"/>
  <c r="M134" i="47"/>
  <c r="I134" i="47"/>
  <c r="N134" i="47"/>
  <c r="S134" i="47"/>
  <c r="M133" i="47"/>
  <c r="I133" i="47"/>
  <c r="N133" i="47"/>
  <c r="S133" i="47"/>
  <c r="M132" i="47"/>
  <c r="I132" i="47"/>
  <c r="N132" i="47"/>
  <c r="S132" i="47"/>
  <c r="M131" i="47"/>
  <c r="I131" i="47"/>
  <c r="N131" i="47"/>
  <c r="S131" i="47"/>
  <c r="M130" i="47"/>
  <c r="I130" i="47"/>
  <c r="N130" i="47"/>
  <c r="S130" i="47"/>
  <c r="M129" i="47"/>
  <c r="I129" i="47"/>
  <c r="N129" i="47"/>
  <c r="S129" i="47"/>
  <c r="M128" i="47"/>
  <c r="I128" i="47"/>
  <c r="N128" i="47"/>
  <c r="S128" i="47"/>
  <c r="M127" i="47"/>
  <c r="I127" i="47"/>
  <c r="N127" i="47"/>
  <c r="S127" i="47"/>
  <c r="M126" i="47"/>
  <c r="I126" i="47"/>
  <c r="N126" i="47"/>
  <c r="S126" i="47"/>
  <c r="M125" i="47"/>
  <c r="I125" i="47"/>
  <c r="N125" i="47"/>
  <c r="S125" i="47"/>
  <c r="M124" i="47"/>
  <c r="I124" i="47"/>
  <c r="N124" i="47"/>
  <c r="S124" i="47"/>
  <c r="M123" i="47"/>
  <c r="I123" i="47"/>
  <c r="N123" i="47"/>
  <c r="S123" i="47"/>
  <c r="M122" i="47"/>
  <c r="I122" i="47"/>
  <c r="N122" i="47"/>
  <c r="S122" i="47"/>
  <c r="M121" i="47"/>
  <c r="I121" i="47"/>
  <c r="N121" i="47"/>
  <c r="S121" i="47"/>
  <c r="M120" i="47"/>
  <c r="I120" i="47"/>
  <c r="N120" i="47"/>
  <c r="S120" i="47"/>
  <c r="M119" i="47"/>
  <c r="I119" i="47"/>
  <c r="N119" i="47"/>
  <c r="S119" i="47"/>
  <c r="M118" i="47"/>
  <c r="I118" i="47"/>
  <c r="N118" i="47"/>
  <c r="S118" i="47"/>
  <c r="M117" i="47"/>
  <c r="I117" i="47"/>
  <c r="N117" i="47"/>
  <c r="S117" i="47"/>
  <c r="M116" i="47"/>
  <c r="I116" i="47"/>
  <c r="N116" i="47"/>
  <c r="S116" i="47"/>
  <c r="M115" i="47"/>
  <c r="I115" i="47"/>
  <c r="N115" i="47"/>
  <c r="S115" i="47"/>
  <c r="M114" i="47"/>
  <c r="I114" i="47"/>
  <c r="N114" i="47"/>
  <c r="S114" i="47"/>
  <c r="M113" i="47"/>
  <c r="I113" i="47"/>
  <c r="N113" i="47"/>
  <c r="S113" i="47"/>
  <c r="M112" i="47"/>
  <c r="I112" i="47"/>
  <c r="N112" i="47"/>
  <c r="S112" i="47"/>
  <c r="M111" i="47"/>
  <c r="I111" i="47"/>
  <c r="N111" i="47"/>
  <c r="S111" i="47"/>
  <c r="M110" i="47"/>
  <c r="I110" i="47"/>
  <c r="N110" i="47"/>
  <c r="S110" i="47"/>
  <c r="M109" i="47"/>
  <c r="I109" i="47"/>
  <c r="N109" i="47"/>
  <c r="S109" i="47"/>
  <c r="M108" i="47"/>
  <c r="I108" i="47"/>
  <c r="N108" i="47"/>
  <c r="S108" i="47"/>
  <c r="M107" i="47"/>
  <c r="I107" i="47"/>
  <c r="N107" i="47"/>
  <c r="S107" i="47"/>
  <c r="M106" i="47"/>
  <c r="I106" i="47"/>
  <c r="N106" i="47"/>
  <c r="S106" i="47"/>
  <c r="M105" i="47"/>
  <c r="I105" i="47"/>
  <c r="N105" i="47"/>
  <c r="S105" i="47"/>
  <c r="M104" i="47"/>
  <c r="I104" i="47"/>
  <c r="N104" i="47"/>
  <c r="S104" i="47"/>
  <c r="M103" i="47"/>
  <c r="I103" i="47"/>
  <c r="N103" i="47"/>
  <c r="S103" i="47"/>
  <c r="M102" i="47"/>
  <c r="I102" i="47"/>
  <c r="N102" i="47"/>
  <c r="S102" i="47"/>
  <c r="M101" i="47"/>
  <c r="I101" i="47"/>
  <c r="N101" i="47"/>
  <c r="S101" i="47"/>
  <c r="M100" i="47"/>
  <c r="I100" i="47"/>
  <c r="N100" i="47"/>
  <c r="S100" i="47"/>
  <c r="M99" i="47"/>
  <c r="I99" i="47"/>
  <c r="N99" i="47"/>
  <c r="S99" i="47"/>
  <c r="M98" i="47"/>
  <c r="I98" i="47"/>
  <c r="N98" i="47"/>
  <c r="S98" i="47"/>
  <c r="M97" i="47"/>
  <c r="I97" i="47"/>
  <c r="N97" i="47"/>
  <c r="S97" i="47"/>
  <c r="M96" i="47"/>
  <c r="I96" i="47"/>
  <c r="N96" i="47"/>
  <c r="S96" i="47"/>
  <c r="M95" i="47"/>
  <c r="I95" i="47"/>
  <c r="N95" i="47"/>
  <c r="S95" i="47"/>
  <c r="M94" i="47"/>
  <c r="I94" i="47"/>
  <c r="N94" i="47"/>
  <c r="S94" i="47"/>
  <c r="M93" i="47"/>
  <c r="I93" i="47"/>
  <c r="N93" i="47"/>
  <c r="S93" i="47"/>
  <c r="M92" i="47"/>
  <c r="I92" i="47"/>
  <c r="N92" i="47"/>
  <c r="S92" i="47"/>
  <c r="M91" i="47"/>
  <c r="I91" i="47"/>
  <c r="N91" i="47"/>
  <c r="S91" i="47"/>
  <c r="M90" i="47"/>
  <c r="I90" i="47"/>
  <c r="N90" i="47"/>
  <c r="S90" i="47"/>
  <c r="M89" i="47"/>
  <c r="I89" i="47"/>
  <c r="N89" i="47"/>
  <c r="S89" i="47"/>
  <c r="M88" i="47"/>
  <c r="I88" i="47"/>
  <c r="N88" i="47"/>
  <c r="S88" i="47"/>
  <c r="M87" i="47"/>
  <c r="I87" i="47"/>
  <c r="N87" i="47"/>
  <c r="S87" i="47"/>
  <c r="M86" i="47"/>
  <c r="I86" i="47"/>
  <c r="N86" i="47"/>
  <c r="S86" i="47"/>
  <c r="M85" i="47"/>
  <c r="I85" i="47"/>
  <c r="N85" i="47"/>
  <c r="S85" i="47"/>
  <c r="M84" i="47"/>
  <c r="I84" i="47"/>
  <c r="N84" i="47"/>
  <c r="S84" i="47"/>
  <c r="M83" i="47"/>
  <c r="I83" i="47"/>
  <c r="N83" i="47"/>
  <c r="S83" i="47"/>
  <c r="M82" i="47"/>
  <c r="I82" i="47"/>
  <c r="N82" i="47"/>
  <c r="S82" i="47"/>
  <c r="M81" i="47"/>
  <c r="I81" i="47"/>
  <c r="N81" i="47"/>
  <c r="S81" i="47"/>
  <c r="M80" i="47"/>
  <c r="I80" i="47"/>
  <c r="N80" i="47"/>
  <c r="S80" i="47"/>
  <c r="M79" i="47"/>
  <c r="I79" i="47"/>
  <c r="N79" i="47"/>
  <c r="S79" i="47"/>
  <c r="M78" i="47"/>
  <c r="I78" i="47"/>
  <c r="N78" i="47"/>
  <c r="S78" i="47"/>
  <c r="M77" i="47"/>
  <c r="I77" i="47"/>
  <c r="N77" i="47"/>
  <c r="S77" i="47"/>
  <c r="M76" i="47"/>
  <c r="I76" i="47"/>
  <c r="N76" i="47"/>
  <c r="S76" i="47"/>
  <c r="M75" i="47"/>
  <c r="I75" i="47"/>
  <c r="N75" i="47"/>
  <c r="S75" i="47"/>
  <c r="M74" i="47"/>
  <c r="I74" i="47"/>
  <c r="N74" i="47"/>
  <c r="S74" i="47"/>
  <c r="M73" i="47"/>
  <c r="I73" i="47"/>
  <c r="N73" i="47"/>
  <c r="S73" i="47"/>
  <c r="M72" i="47"/>
  <c r="I72" i="47"/>
  <c r="N72" i="47"/>
  <c r="S72" i="47"/>
  <c r="M71" i="47"/>
  <c r="I71" i="47"/>
  <c r="N71" i="47"/>
  <c r="S71" i="47"/>
  <c r="M70" i="47"/>
  <c r="I70" i="47"/>
  <c r="N70" i="47"/>
  <c r="S70" i="47"/>
  <c r="M69" i="47"/>
  <c r="I69" i="47"/>
  <c r="N69" i="47"/>
  <c r="S69" i="47"/>
  <c r="M68" i="47"/>
  <c r="I68" i="47"/>
  <c r="N68" i="47"/>
  <c r="S68" i="47"/>
  <c r="M67" i="47"/>
  <c r="I67" i="47"/>
  <c r="N67" i="47"/>
  <c r="S67" i="47"/>
  <c r="M66" i="47"/>
  <c r="I66" i="47"/>
  <c r="N66" i="47"/>
  <c r="S66" i="47"/>
  <c r="M65" i="47"/>
  <c r="I65" i="47"/>
  <c r="N65" i="47"/>
  <c r="S65" i="47"/>
  <c r="M64" i="47"/>
  <c r="I64" i="47"/>
  <c r="N64" i="47"/>
  <c r="S64" i="47"/>
  <c r="M63" i="47"/>
  <c r="I63" i="47"/>
  <c r="N63" i="47"/>
  <c r="S63" i="47"/>
  <c r="M62" i="47"/>
  <c r="I62" i="47"/>
  <c r="N62" i="47"/>
  <c r="S62" i="47"/>
  <c r="M61" i="47"/>
  <c r="I61" i="47"/>
  <c r="N61" i="47"/>
  <c r="S61" i="47"/>
  <c r="M60" i="47"/>
  <c r="I60" i="47"/>
  <c r="N60" i="47"/>
  <c r="S60" i="47"/>
  <c r="M59" i="47"/>
  <c r="I59" i="47"/>
  <c r="N59" i="47"/>
  <c r="S59" i="47"/>
  <c r="M58" i="47"/>
  <c r="I58" i="47"/>
  <c r="N58" i="47"/>
  <c r="S58" i="47"/>
  <c r="M57" i="47"/>
  <c r="I57" i="47"/>
  <c r="N57" i="47"/>
  <c r="S57" i="47"/>
  <c r="M56" i="47"/>
  <c r="I56" i="47"/>
  <c r="N56" i="47"/>
  <c r="S56" i="47"/>
  <c r="M55" i="47"/>
  <c r="I55" i="47"/>
  <c r="N55" i="47"/>
  <c r="S55" i="47"/>
  <c r="M54" i="47"/>
  <c r="I54" i="47"/>
  <c r="N54" i="47"/>
  <c r="S54" i="47"/>
  <c r="M53" i="47"/>
  <c r="I53" i="47"/>
  <c r="N53" i="47"/>
  <c r="S53" i="47"/>
  <c r="M52" i="47"/>
  <c r="I52" i="47"/>
  <c r="N52" i="47"/>
  <c r="S52" i="47"/>
  <c r="M51" i="47"/>
  <c r="I51" i="47"/>
  <c r="N51" i="47"/>
  <c r="S51" i="47"/>
  <c r="M50" i="47"/>
  <c r="I50" i="47"/>
  <c r="N50" i="47"/>
  <c r="S50" i="47"/>
  <c r="M49" i="47"/>
  <c r="I49" i="47"/>
  <c r="N49" i="47"/>
  <c r="S49" i="47"/>
  <c r="M48" i="47"/>
  <c r="I48" i="47"/>
  <c r="N48" i="47"/>
  <c r="S48" i="47"/>
  <c r="M47" i="47"/>
  <c r="I47" i="47"/>
  <c r="N47" i="47"/>
  <c r="S47" i="47"/>
  <c r="M46" i="47"/>
  <c r="I46" i="47"/>
  <c r="N46" i="47"/>
  <c r="S46" i="47"/>
  <c r="M45" i="47"/>
  <c r="I45" i="47"/>
  <c r="N45" i="47"/>
  <c r="S45" i="47"/>
  <c r="M44" i="47"/>
  <c r="I44" i="47"/>
  <c r="N44" i="47"/>
  <c r="S44" i="47"/>
  <c r="M43" i="47"/>
  <c r="I43" i="47"/>
  <c r="N43" i="47"/>
  <c r="S43" i="47"/>
  <c r="M42" i="47"/>
  <c r="I42" i="47"/>
  <c r="N42" i="47"/>
  <c r="S42" i="47"/>
  <c r="M41" i="47"/>
  <c r="I41" i="47"/>
  <c r="N41" i="47"/>
  <c r="S41" i="47"/>
  <c r="M40" i="47"/>
  <c r="I40" i="47"/>
  <c r="N40" i="47"/>
  <c r="S40" i="47"/>
  <c r="M39" i="47"/>
  <c r="I39" i="47"/>
  <c r="N39" i="47"/>
  <c r="S39" i="47"/>
  <c r="M38" i="47"/>
  <c r="I38" i="47"/>
  <c r="N38" i="47"/>
  <c r="S38" i="47"/>
  <c r="M37" i="47"/>
  <c r="I37" i="47"/>
  <c r="N37" i="47"/>
  <c r="S37" i="47"/>
  <c r="M36" i="47"/>
  <c r="I36" i="47"/>
  <c r="N36" i="47"/>
  <c r="S36" i="47"/>
  <c r="M35" i="47"/>
  <c r="I35" i="47"/>
  <c r="N35" i="47"/>
  <c r="S35" i="47"/>
  <c r="M34" i="47"/>
  <c r="I34" i="47"/>
  <c r="N34" i="47"/>
  <c r="S34" i="47"/>
  <c r="M33" i="47"/>
  <c r="I33" i="47"/>
  <c r="N33" i="47"/>
  <c r="S33" i="47"/>
  <c r="M32" i="47"/>
  <c r="I32" i="47"/>
  <c r="N32" i="47"/>
  <c r="S32" i="47"/>
  <c r="M31" i="47"/>
  <c r="I31" i="47"/>
  <c r="N31" i="47"/>
  <c r="S31" i="47"/>
  <c r="M30" i="47"/>
  <c r="I30" i="47"/>
  <c r="N30" i="47"/>
  <c r="S30" i="47"/>
  <c r="M29" i="47"/>
  <c r="I29" i="47"/>
  <c r="N29" i="47"/>
  <c r="S29" i="47"/>
  <c r="M28" i="47"/>
  <c r="I28" i="47"/>
  <c r="N28" i="47"/>
  <c r="S28" i="47"/>
  <c r="M27" i="47"/>
  <c r="I27" i="47"/>
  <c r="N27" i="47"/>
  <c r="S27" i="47"/>
  <c r="M26" i="47"/>
  <c r="I26" i="47"/>
  <c r="N26" i="47"/>
  <c r="S26" i="47"/>
  <c r="M25" i="47"/>
  <c r="I25" i="47"/>
  <c r="N25" i="47"/>
  <c r="S25" i="47"/>
  <c r="M24" i="47"/>
  <c r="I24" i="47"/>
  <c r="N24" i="47"/>
  <c r="S24" i="47"/>
  <c r="M23" i="47"/>
  <c r="I23" i="47"/>
  <c r="N23" i="47"/>
  <c r="S23" i="47"/>
  <c r="M22" i="47"/>
  <c r="I22" i="47"/>
  <c r="N22" i="47"/>
  <c r="S22" i="47"/>
  <c r="M21" i="47"/>
  <c r="I21" i="47"/>
  <c r="N21" i="47"/>
  <c r="S21" i="47"/>
  <c r="M20" i="47"/>
  <c r="I20" i="47"/>
  <c r="N20" i="47"/>
  <c r="S20" i="47"/>
  <c r="M19" i="47"/>
  <c r="I19" i="47"/>
  <c r="N19" i="47"/>
  <c r="S19" i="47"/>
  <c r="M18" i="47"/>
  <c r="I18" i="47"/>
  <c r="N18" i="47"/>
  <c r="S18" i="47"/>
  <c r="R139" i="47"/>
  <c r="R138" i="47"/>
  <c r="R137" i="47"/>
  <c r="R136" i="47"/>
  <c r="R135" i="47"/>
  <c r="R134" i="47"/>
  <c r="R133" i="47"/>
  <c r="R132" i="47"/>
  <c r="R131" i="47"/>
  <c r="R130" i="47"/>
  <c r="R129" i="47"/>
  <c r="R128" i="47"/>
  <c r="R127" i="47"/>
  <c r="R126" i="47"/>
  <c r="R125" i="47"/>
  <c r="R124" i="47"/>
  <c r="R123" i="47"/>
  <c r="R122" i="47"/>
  <c r="R121" i="47"/>
  <c r="R120" i="47"/>
  <c r="R119" i="47"/>
  <c r="R118" i="47"/>
  <c r="R117" i="47"/>
  <c r="R116" i="47"/>
  <c r="R115" i="47"/>
  <c r="R114" i="47"/>
  <c r="R113" i="47"/>
  <c r="R112" i="47"/>
  <c r="R111" i="47"/>
  <c r="R110" i="47"/>
  <c r="R109" i="47"/>
  <c r="R108" i="47"/>
  <c r="R107" i="47"/>
  <c r="R106" i="47"/>
  <c r="R105" i="47"/>
  <c r="R104" i="47"/>
  <c r="R103" i="47"/>
  <c r="R102" i="47"/>
  <c r="R101" i="47"/>
  <c r="R100" i="47"/>
  <c r="R99" i="47"/>
  <c r="R98" i="47"/>
  <c r="R97" i="47"/>
  <c r="R96" i="47"/>
  <c r="R95" i="47"/>
  <c r="R94" i="47"/>
  <c r="R93" i="47"/>
  <c r="R92" i="47"/>
  <c r="R91" i="47"/>
  <c r="R90" i="47"/>
  <c r="R89" i="47"/>
  <c r="R88" i="47"/>
  <c r="R87" i="47"/>
  <c r="R86" i="47"/>
  <c r="R85" i="47"/>
  <c r="R84" i="47"/>
  <c r="R83" i="47"/>
  <c r="R82" i="47"/>
  <c r="R81" i="47"/>
  <c r="R80" i="47"/>
  <c r="R79" i="47"/>
  <c r="R78" i="47"/>
  <c r="R77" i="47"/>
  <c r="R76" i="47"/>
  <c r="R75" i="47"/>
  <c r="R74" i="47"/>
  <c r="R73" i="47"/>
  <c r="R72" i="47"/>
  <c r="R71" i="47"/>
  <c r="R70" i="47"/>
  <c r="R69" i="47"/>
  <c r="R68" i="47"/>
  <c r="R67" i="47"/>
  <c r="R66" i="47"/>
  <c r="R65" i="47"/>
  <c r="R64" i="47"/>
  <c r="R63" i="47"/>
  <c r="R62" i="47"/>
  <c r="R61" i="47"/>
  <c r="R60" i="47"/>
  <c r="R59" i="47"/>
  <c r="R58" i="47"/>
  <c r="R57" i="47"/>
  <c r="R56" i="47"/>
  <c r="R55" i="47"/>
  <c r="R54" i="47"/>
  <c r="R53" i="47"/>
  <c r="R52" i="47"/>
  <c r="R51" i="47"/>
  <c r="R50" i="47"/>
  <c r="R49" i="47"/>
  <c r="R48" i="47"/>
  <c r="R47" i="47"/>
  <c r="R46" i="47"/>
  <c r="R45" i="47"/>
  <c r="R44" i="47"/>
  <c r="R43" i="47"/>
  <c r="R42" i="47"/>
  <c r="R41" i="47"/>
  <c r="R40" i="47"/>
  <c r="R39" i="47"/>
  <c r="R38" i="47"/>
  <c r="R37" i="47"/>
  <c r="R36" i="47"/>
  <c r="R35" i="47"/>
  <c r="R34" i="47"/>
  <c r="R33" i="47"/>
  <c r="R32" i="47"/>
  <c r="R31" i="47"/>
  <c r="R30" i="47"/>
  <c r="R29" i="47"/>
  <c r="R28" i="47"/>
  <c r="R27" i="47"/>
  <c r="R26" i="47"/>
  <c r="R25" i="47"/>
  <c r="R24" i="47"/>
  <c r="R23" i="47"/>
  <c r="R22" i="47"/>
  <c r="R21" i="47"/>
  <c r="R20" i="47"/>
  <c r="R19" i="47"/>
  <c r="R18" i="47"/>
  <c r="R17" i="47"/>
  <c r="S17" i="47"/>
  <c r="T139" i="47"/>
  <c r="T138" i="47"/>
  <c r="T137" i="47"/>
  <c r="T136" i="47"/>
  <c r="T135" i="47"/>
  <c r="T134" i="47"/>
  <c r="T133" i="47"/>
  <c r="T132" i="47"/>
  <c r="T131" i="47"/>
  <c r="T130" i="47"/>
  <c r="T129" i="47"/>
  <c r="T128" i="47"/>
  <c r="T127" i="47"/>
  <c r="T126" i="47"/>
  <c r="T125" i="47"/>
  <c r="T124" i="47"/>
  <c r="T123" i="47"/>
  <c r="T122" i="47"/>
  <c r="T121" i="47"/>
  <c r="T120" i="47"/>
  <c r="T119" i="47"/>
  <c r="T118" i="47"/>
  <c r="T117" i="47"/>
  <c r="T116" i="47"/>
  <c r="T115" i="47"/>
  <c r="T114" i="47"/>
  <c r="T113" i="47"/>
  <c r="T112" i="47"/>
  <c r="T111" i="47"/>
  <c r="T110" i="47"/>
  <c r="T109" i="47"/>
  <c r="T108" i="47"/>
  <c r="T107" i="47"/>
  <c r="T106" i="47"/>
  <c r="T105" i="47"/>
  <c r="T104" i="47"/>
  <c r="T103" i="47"/>
  <c r="T102" i="47"/>
  <c r="T101" i="47"/>
  <c r="T100" i="47"/>
  <c r="T99" i="47"/>
  <c r="T98" i="47"/>
  <c r="T97" i="47"/>
  <c r="T96" i="47"/>
  <c r="T95" i="47"/>
  <c r="T94" i="47"/>
  <c r="T93" i="47"/>
  <c r="T92" i="47"/>
  <c r="T91" i="47"/>
  <c r="T90" i="47"/>
  <c r="T89" i="47"/>
  <c r="T88" i="47"/>
  <c r="T87" i="47"/>
  <c r="T86" i="47"/>
  <c r="T85" i="47"/>
  <c r="T84" i="47"/>
  <c r="T83" i="47"/>
  <c r="T82" i="47"/>
  <c r="T81" i="47"/>
  <c r="T80" i="47"/>
  <c r="T79" i="47"/>
  <c r="T78" i="47"/>
  <c r="T77" i="47"/>
  <c r="T76" i="47"/>
  <c r="T75" i="47"/>
  <c r="T74" i="47"/>
  <c r="T73" i="47"/>
  <c r="T72" i="47"/>
  <c r="T71" i="47"/>
  <c r="T70" i="47"/>
  <c r="T69" i="47"/>
  <c r="T68" i="47"/>
  <c r="T67" i="47"/>
  <c r="T66" i="47"/>
  <c r="T65" i="47"/>
  <c r="T64" i="47"/>
  <c r="T63" i="47"/>
  <c r="T62" i="47"/>
  <c r="T61" i="47"/>
  <c r="T60" i="47"/>
  <c r="T59" i="47"/>
  <c r="T58" i="47"/>
  <c r="T57" i="47"/>
  <c r="T56" i="47"/>
  <c r="T55" i="47"/>
  <c r="T54" i="47"/>
  <c r="T53" i="47"/>
  <c r="T52" i="47"/>
  <c r="T51" i="47"/>
  <c r="T50" i="47"/>
  <c r="T49" i="47"/>
  <c r="T48" i="47"/>
  <c r="T47" i="47"/>
  <c r="T46" i="47"/>
  <c r="T45" i="47"/>
  <c r="T44" i="47"/>
  <c r="T43" i="47"/>
  <c r="T42" i="47"/>
  <c r="T41" i="47"/>
  <c r="T40" i="47"/>
  <c r="T39" i="47"/>
  <c r="T38" i="47"/>
  <c r="T37" i="47"/>
  <c r="T36" i="47"/>
  <c r="T35" i="47"/>
  <c r="T34" i="47"/>
  <c r="T33" i="47"/>
  <c r="T32" i="47"/>
  <c r="T31" i="47"/>
  <c r="T30" i="47"/>
  <c r="T29" i="47"/>
  <c r="T28" i="47"/>
  <c r="T27" i="47"/>
  <c r="T26" i="47"/>
  <c r="T25" i="47"/>
  <c r="T24" i="47"/>
  <c r="T23" i="47"/>
  <c r="T22" i="47"/>
  <c r="T21" i="47"/>
  <c r="T20" i="47"/>
  <c r="T19" i="47"/>
  <c r="T18" i="47"/>
  <c r="T17" i="47"/>
  <c r="U17" i="47"/>
  <c r="V17" i="47"/>
  <c r="W17" i="47"/>
  <c r="X17" i="47"/>
  <c r="Y17" i="47"/>
  <c r="Z17" i="47"/>
  <c r="AA17" i="47"/>
  <c r="AB17" i="47"/>
  <c r="AC17" i="47"/>
  <c r="AD17" i="47"/>
  <c r="AE17" i="47"/>
  <c r="AF17" i="47"/>
  <c r="AG17" i="47"/>
  <c r="D18" i="47"/>
  <c r="O18" i="47"/>
  <c r="P18" i="47"/>
  <c r="Q18" i="47"/>
  <c r="U18" i="47"/>
  <c r="V18" i="47"/>
  <c r="W18" i="47"/>
  <c r="X18" i="47"/>
  <c r="Y18" i="47"/>
  <c r="Z18" i="47"/>
  <c r="AA18" i="47"/>
  <c r="AB18" i="47"/>
  <c r="AC18" i="47"/>
  <c r="AD18" i="47"/>
  <c r="AE18" i="47"/>
  <c r="AF18" i="47"/>
  <c r="AG18" i="47"/>
  <c r="D19" i="47"/>
  <c r="O19" i="47"/>
  <c r="P19" i="47"/>
  <c r="Q19" i="47"/>
  <c r="U19" i="47"/>
  <c r="V19" i="47"/>
  <c r="W19" i="47"/>
  <c r="X19" i="47"/>
  <c r="Y19" i="47"/>
  <c r="Z19" i="47"/>
  <c r="AA19" i="47"/>
  <c r="AB19" i="47"/>
  <c r="AC19" i="47"/>
  <c r="AD19" i="47"/>
  <c r="AE19" i="47"/>
  <c r="AF19" i="47"/>
  <c r="AG19" i="47"/>
  <c r="D20" i="47"/>
  <c r="O20" i="47"/>
  <c r="P20" i="47"/>
  <c r="Q20" i="47"/>
  <c r="U20" i="47"/>
  <c r="V20" i="47"/>
  <c r="W20" i="47"/>
  <c r="X20" i="47"/>
  <c r="Y20" i="47"/>
  <c r="Z20" i="47"/>
  <c r="AA20" i="47"/>
  <c r="AB20" i="47"/>
  <c r="AC20" i="47"/>
  <c r="AD20" i="47"/>
  <c r="AE20" i="47"/>
  <c r="AF20" i="47"/>
  <c r="AG20" i="47"/>
  <c r="D21" i="47"/>
  <c r="O21" i="47"/>
  <c r="P21" i="47"/>
  <c r="Q21" i="47"/>
  <c r="U21" i="47"/>
  <c r="V21" i="47"/>
  <c r="W21" i="47"/>
  <c r="X21" i="47"/>
  <c r="Y21" i="47"/>
  <c r="Z21" i="47"/>
  <c r="AA21" i="47"/>
  <c r="AB21" i="47"/>
  <c r="AC21" i="47"/>
  <c r="AD21" i="47"/>
  <c r="AE21" i="47"/>
  <c r="AF21" i="47"/>
  <c r="AG21" i="47"/>
  <c r="D22" i="47"/>
  <c r="O22" i="47"/>
  <c r="P22" i="47"/>
  <c r="Q22" i="47"/>
  <c r="U22" i="47"/>
  <c r="V22" i="47"/>
  <c r="W22" i="47"/>
  <c r="X22" i="47"/>
  <c r="Y22" i="47"/>
  <c r="Z22" i="47"/>
  <c r="AA22" i="47"/>
  <c r="AB22" i="47"/>
  <c r="AC22" i="47"/>
  <c r="AD22" i="47"/>
  <c r="AE22" i="47"/>
  <c r="AF22" i="47"/>
  <c r="AG22" i="47"/>
  <c r="D23" i="47"/>
  <c r="O23" i="47"/>
  <c r="P23" i="47"/>
  <c r="Q23" i="47"/>
  <c r="U23" i="47"/>
  <c r="V23" i="47"/>
  <c r="W23" i="47"/>
  <c r="X23" i="47"/>
  <c r="Y23" i="47"/>
  <c r="Z23" i="47"/>
  <c r="AA23" i="47"/>
  <c r="AB23" i="47"/>
  <c r="AC23" i="47"/>
  <c r="AD23" i="47"/>
  <c r="AE23" i="47"/>
  <c r="AF23" i="47"/>
  <c r="AG23" i="47"/>
  <c r="D24" i="47"/>
  <c r="O24" i="47"/>
  <c r="P24" i="47"/>
  <c r="Q24" i="47"/>
  <c r="U24" i="47"/>
  <c r="V24" i="47"/>
  <c r="W24" i="47"/>
  <c r="X24" i="47"/>
  <c r="Y24" i="47"/>
  <c r="Z24" i="47"/>
  <c r="AA24" i="47"/>
  <c r="AB24" i="47"/>
  <c r="AC24" i="47"/>
  <c r="AD24" i="47"/>
  <c r="AE24" i="47"/>
  <c r="AF24" i="47"/>
  <c r="AG24" i="47"/>
  <c r="D25" i="47"/>
  <c r="O25" i="47"/>
  <c r="P25" i="47"/>
  <c r="Q25" i="47"/>
  <c r="U25" i="47"/>
  <c r="V25" i="47"/>
  <c r="W25" i="47"/>
  <c r="X25" i="47"/>
  <c r="Y25" i="47"/>
  <c r="Z25" i="47"/>
  <c r="AA25" i="47"/>
  <c r="AB25" i="47"/>
  <c r="AC25" i="47"/>
  <c r="AD25" i="47"/>
  <c r="AE25" i="47"/>
  <c r="AF25" i="47"/>
  <c r="AG25" i="47"/>
  <c r="D26" i="47"/>
  <c r="O26" i="47"/>
  <c r="P26" i="47"/>
  <c r="Q26" i="47"/>
  <c r="U26" i="47"/>
  <c r="V26" i="47"/>
  <c r="W26" i="47"/>
  <c r="X26" i="47"/>
  <c r="Y26" i="47"/>
  <c r="Z26" i="47"/>
  <c r="AA26" i="47"/>
  <c r="AB26" i="47"/>
  <c r="AC26" i="47"/>
  <c r="AD26" i="47"/>
  <c r="AE26" i="47"/>
  <c r="AF26" i="47"/>
  <c r="AG26" i="47"/>
  <c r="D27" i="47"/>
  <c r="O27" i="47"/>
  <c r="P27" i="47"/>
  <c r="Q27" i="47"/>
  <c r="U27" i="47"/>
  <c r="V27" i="47"/>
  <c r="W27" i="47"/>
  <c r="X27" i="47"/>
  <c r="Y27" i="47"/>
  <c r="Z27" i="47"/>
  <c r="AA27" i="47"/>
  <c r="AB27" i="47"/>
  <c r="AC27" i="47"/>
  <c r="AD27" i="47"/>
  <c r="AE27" i="47"/>
  <c r="AF27" i="47"/>
  <c r="AG27" i="47"/>
  <c r="D28" i="47"/>
  <c r="O28" i="47"/>
  <c r="P28" i="47"/>
  <c r="Q28" i="47"/>
  <c r="U28" i="47"/>
  <c r="V28" i="47"/>
  <c r="W28" i="47"/>
  <c r="X28" i="47"/>
  <c r="Y28" i="47"/>
  <c r="Z28" i="47"/>
  <c r="AA28" i="47"/>
  <c r="AB28" i="47"/>
  <c r="AC28" i="47"/>
  <c r="AD28" i="47"/>
  <c r="AE28" i="47"/>
  <c r="AF28" i="47"/>
  <c r="AG28" i="47"/>
  <c r="D29" i="47"/>
  <c r="O29" i="47"/>
  <c r="P29" i="47"/>
  <c r="Q29" i="47"/>
  <c r="U29" i="47"/>
  <c r="V29" i="47"/>
  <c r="W29" i="47"/>
  <c r="X29" i="47"/>
  <c r="Y29" i="47"/>
  <c r="Z29" i="47"/>
  <c r="AA29" i="47"/>
  <c r="AB29" i="47"/>
  <c r="AC29" i="47"/>
  <c r="AD29" i="47"/>
  <c r="AE29" i="47"/>
  <c r="AF29" i="47"/>
  <c r="AG29" i="47"/>
  <c r="D30" i="47"/>
  <c r="O30" i="47"/>
  <c r="P30" i="47"/>
  <c r="Q30" i="47"/>
  <c r="U30" i="47"/>
  <c r="V30" i="47"/>
  <c r="W30" i="47"/>
  <c r="X30" i="47"/>
  <c r="Y30" i="47"/>
  <c r="Z30" i="47"/>
  <c r="AA30" i="47"/>
  <c r="AB30" i="47"/>
  <c r="AC30" i="47"/>
  <c r="AD30" i="47"/>
  <c r="AE30" i="47"/>
  <c r="AF30" i="47"/>
  <c r="AG30" i="47"/>
  <c r="D31" i="47"/>
  <c r="O31" i="47"/>
  <c r="P31" i="47"/>
  <c r="Q31" i="47"/>
  <c r="U31" i="47"/>
  <c r="V31" i="47"/>
  <c r="W31" i="47"/>
  <c r="X31" i="47"/>
  <c r="Y31" i="47"/>
  <c r="Z31" i="47"/>
  <c r="AA31" i="47"/>
  <c r="AB31" i="47"/>
  <c r="AC31" i="47"/>
  <c r="AD31" i="47"/>
  <c r="AE31" i="47"/>
  <c r="AF31" i="47"/>
  <c r="AG31" i="47"/>
  <c r="D32" i="47"/>
  <c r="O32" i="47"/>
  <c r="P32" i="47"/>
  <c r="Q32" i="47"/>
  <c r="U32" i="47"/>
  <c r="V32" i="47"/>
  <c r="W32" i="47"/>
  <c r="X32" i="47"/>
  <c r="Y32" i="47"/>
  <c r="Z32" i="47"/>
  <c r="AA32" i="47"/>
  <c r="AB32" i="47"/>
  <c r="AC32" i="47"/>
  <c r="AD32" i="47"/>
  <c r="AE32" i="47"/>
  <c r="AF32" i="47"/>
  <c r="AG32" i="47"/>
  <c r="D33" i="47"/>
  <c r="O33" i="47"/>
  <c r="P33" i="47"/>
  <c r="Q33" i="47"/>
  <c r="U33" i="47"/>
  <c r="V33" i="47"/>
  <c r="W33" i="47"/>
  <c r="X33" i="47"/>
  <c r="Y33" i="47"/>
  <c r="Z33" i="47"/>
  <c r="AA33" i="47"/>
  <c r="AB33" i="47"/>
  <c r="AC33" i="47"/>
  <c r="AD33" i="47"/>
  <c r="AE33" i="47"/>
  <c r="AF33" i="47"/>
  <c r="AG33" i="47"/>
  <c r="D34" i="47"/>
  <c r="O34" i="47"/>
  <c r="P34" i="47"/>
  <c r="Q34" i="47"/>
  <c r="U34" i="47"/>
  <c r="V34" i="47"/>
  <c r="W34" i="47"/>
  <c r="X34" i="47"/>
  <c r="Y34" i="47"/>
  <c r="Z34" i="47"/>
  <c r="AA34" i="47"/>
  <c r="AB34" i="47"/>
  <c r="AC34" i="47"/>
  <c r="AD34" i="47"/>
  <c r="AE34" i="47"/>
  <c r="AF34" i="47"/>
  <c r="AG34" i="47"/>
  <c r="D35" i="47"/>
  <c r="O35" i="47"/>
  <c r="P35" i="47"/>
  <c r="Q35" i="47"/>
  <c r="U35" i="47"/>
  <c r="V35" i="47"/>
  <c r="W35" i="47"/>
  <c r="X35" i="47"/>
  <c r="Y35" i="47"/>
  <c r="Z35" i="47"/>
  <c r="AA35" i="47"/>
  <c r="AB35" i="47"/>
  <c r="AC35" i="47"/>
  <c r="AD35" i="47"/>
  <c r="AE35" i="47"/>
  <c r="AF35" i="47"/>
  <c r="AG35" i="47"/>
  <c r="D36" i="47"/>
  <c r="O36" i="47"/>
  <c r="P36" i="47"/>
  <c r="Q36" i="47"/>
  <c r="U36" i="47"/>
  <c r="V36" i="47"/>
  <c r="W36" i="47"/>
  <c r="X36" i="47"/>
  <c r="Y36" i="47"/>
  <c r="Z36" i="47"/>
  <c r="AA36" i="47"/>
  <c r="AB36" i="47"/>
  <c r="AC36" i="47"/>
  <c r="AD36" i="47"/>
  <c r="AE36" i="47"/>
  <c r="AF36" i="47"/>
  <c r="AG36" i="47"/>
  <c r="D37" i="47"/>
  <c r="O37" i="47"/>
  <c r="P37" i="47"/>
  <c r="Q37" i="47"/>
  <c r="U37" i="47"/>
  <c r="V37" i="47"/>
  <c r="W37" i="47"/>
  <c r="X37" i="47"/>
  <c r="Y37" i="47"/>
  <c r="Z37" i="47"/>
  <c r="AA37" i="47"/>
  <c r="AB37" i="47"/>
  <c r="AC37" i="47"/>
  <c r="AD37" i="47"/>
  <c r="AE37" i="47"/>
  <c r="AF37" i="47"/>
  <c r="AG37" i="47"/>
  <c r="D38" i="47"/>
  <c r="O38" i="47"/>
  <c r="P38" i="47"/>
  <c r="Q38" i="47"/>
  <c r="U38" i="47"/>
  <c r="V38" i="47"/>
  <c r="W38" i="47"/>
  <c r="X38" i="47"/>
  <c r="Y38" i="47"/>
  <c r="Z38" i="47"/>
  <c r="AA38" i="47"/>
  <c r="AB38" i="47"/>
  <c r="AC38" i="47"/>
  <c r="AD38" i="47"/>
  <c r="AE38" i="47"/>
  <c r="AF38" i="47"/>
  <c r="AG38" i="47"/>
  <c r="D39" i="47"/>
  <c r="O39" i="47"/>
  <c r="P39" i="47"/>
  <c r="Q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D40" i="47"/>
  <c r="O40" i="47"/>
  <c r="P40" i="47"/>
  <c r="Q40" i="47"/>
  <c r="U40" i="47"/>
  <c r="V40" i="47"/>
  <c r="W40" i="47"/>
  <c r="X40" i="47"/>
  <c r="Y40" i="47"/>
  <c r="Z40" i="47"/>
  <c r="AA40" i="47"/>
  <c r="AB40" i="47"/>
  <c r="AC40" i="47"/>
  <c r="AD40" i="47"/>
  <c r="AE40" i="47"/>
  <c r="AF40" i="47"/>
  <c r="AG40" i="47"/>
  <c r="D41" i="47"/>
  <c r="O41" i="47"/>
  <c r="P41" i="47"/>
  <c r="Q41" i="47"/>
  <c r="U41" i="47"/>
  <c r="V41" i="47"/>
  <c r="W41" i="47"/>
  <c r="X41" i="47"/>
  <c r="Y41" i="47"/>
  <c r="Z41" i="47"/>
  <c r="AA41" i="47"/>
  <c r="AB41" i="47"/>
  <c r="AC41" i="47"/>
  <c r="AD41" i="47"/>
  <c r="AE41" i="47"/>
  <c r="AF41" i="47"/>
  <c r="AG41" i="47"/>
  <c r="D42" i="47"/>
  <c r="O42" i="47"/>
  <c r="P42" i="47"/>
  <c r="Q42" i="47"/>
  <c r="U42" i="47"/>
  <c r="V42" i="47"/>
  <c r="W42" i="47"/>
  <c r="X42" i="47"/>
  <c r="Y42" i="47"/>
  <c r="Z42" i="47"/>
  <c r="AA42" i="47"/>
  <c r="AB42" i="47"/>
  <c r="AC42" i="47"/>
  <c r="AD42" i="47"/>
  <c r="AE42" i="47"/>
  <c r="AF42" i="47"/>
  <c r="AG42" i="47"/>
  <c r="D43" i="47"/>
  <c r="O43" i="47"/>
  <c r="P43" i="47"/>
  <c r="Q43" i="47"/>
  <c r="U43" i="47"/>
  <c r="V43" i="47"/>
  <c r="W43" i="47"/>
  <c r="X43" i="47"/>
  <c r="Y43" i="47"/>
  <c r="Z43" i="47"/>
  <c r="AA43" i="47"/>
  <c r="AB43" i="47"/>
  <c r="AC43" i="47"/>
  <c r="AD43" i="47"/>
  <c r="AE43" i="47"/>
  <c r="AF43" i="47"/>
  <c r="AG43" i="47"/>
  <c r="D44" i="47"/>
  <c r="O44" i="47"/>
  <c r="P44" i="47"/>
  <c r="Q44" i="47"/>
  <c r="U44" i="47"/>
  <c r="V44" i="47"/>
  <c r="W44" i="47"/>
  <c r="X44" i="47"/>
  <c r="Y44" i="47"/>
  <c r="Z44" i="47"/>
  <c r="AA44" i="47"/>
  <c r="AB44" i="47"/>
  <c r="AC44" i="47"/>
  <c r="AD44" i="47"/>
  <c r="AE44" i="47"/>
  <c r="AF44" i="47"/>
  <c r="AG44" i="47"/>
  <c r="D45" i="47"/>
  <c r="O45" i="47"/>
  <c r="P45" i="47"/>
  <c r="Q45" i="47"/>
  <c r="U45" i="47"/>
  <c r="V45" i="47"/>
  <c r="W45" i="47"/>
  <c r="X45" i="47"/>
  <c r="Y45" i="47"/>
  <c r="Z45" i="47"/>
  <c r="AA45" i="47"/>
  <c r="AB45" i="47"/>
  <c r="AC45" i="47"/>
  <c r="AD45" i="47"/>
  <c r="AE45" i="47"/>
  <c r="AF45" i="47"/>
  <c r="AG45" i="47"/>
  <c r="D46" i="47"/>
  <c r="O46" i="47"/>
  <c r="P46" i="47"/>
  <c r="Q46" i="47"/>
  <c r="U46" i="47"/>
  <c r="V46" i="47"/>
  <c r="W46" i="47"/>
  <c r="X46" i="47"/>
  <c r="Y46" i="47"/>
  <c r="Z46" i="47"/>
  <c r="AA46" i="47"/>
  <c r="AB46" i="47"/>
  <c r="AC46" i="47"/>
  <c r="AD46" i="47"/>
  <c r="AE46" i="47"/>
  <c r="AF46" i="47"/>
  <c r="AG46" i="47"/>
  <c r="D47" i="47"/>
  <c r="O47" i="47"/>
  <c r="P47" i="47"/>
  <c r="Q47" i="47"/>
  <c r="U47" i="47"/>
  <c r="V47" i="47"/>
  <c r="W47" i="47"/>
  <c r="X47" i="47"/>
  <c r="Y47" i="47"/>
  <c r="Z47" i="47"/>
  <c r="AA47" i="47"/>
  <c r="AB47" i="47"/>
  <c r="AC47" i="47"/>
  <c r="AD47" i="47"/>
  <c r="AE47" i="47"/>
  <c r="AF47" i="47"/>
  <c r="AG47" i="47"/>
  <c r="D48" i="47"/>
  <c r="O48" i="47"/>
  <c r="P48" i="47"/>
  <c r="Q48" i="47"/>
  <c r="U48" i="47"/>
  <c r="V48" i="47"/>
  <c r="W48" i="47"/>
  <c r="X48" i="47"/>
  <c r="Y48" i="47"/>
  <c r="Z48" i="47"/>
  <c r="AA48" i="47"/>
  <c r="AB48" i="47"/>
  <c r="AC48" i="47"/>
  <c r="AD48" i="47"/>
  <c r="AE48" i="47"/>
  <c r="AF48" i="47"/>
  <c r="AG48" i="47"/>
  <c r="D49" i="47"/>
  <c r="O49" i="47"/>
  <c r="P49" i="47"/>
  <c r="Q49" i="47"/>
  <c r="U49" i="47"/>
  <c r="V49" i="47"/>
  <c r="W49" i="47"/>
  <c r="X49" i="47"/>
  <c r="Y49" i="47"/>
  <c r="Z49" i="47"/>
  <c r="AA49" i="47"/>
  <c r="AB49" i="47"/>
  <c r="AC49" i="47"/>
  <c r="AD49" i="47"/>
  <c r="AE49" i="47"/>
  <c r="AF49" i="47"/>
  <c r="AG49" i="47"/>
  <c r="D50" i="47"/>
  <c r="O50" i="47"/>
  <c r="P50" i="47"/>
  <c r="Q50" i="47"/>
  <c r="U50" i="47"/>
  <c r="V50" i="47"/>
  <c r="W50" i="47"/>
  <c r="X50" i="47"/>
  <c r="Y50" i="47"/>
  <c r="Z50" i="47"/>
  <c r="AA50" i="47"/>
  <c r="AB50" i="47"/>
  <c r="AC50" i="47"/>
  <c r="AD50" i="47"/>
  <c r="AE50" i="47"/>
  <c r="AF50" i="47"/>
  <c r="AG50" i="47"/>
  <c r="D51" i="47"/>
  <c r="O51" i="47"/>
  <c r="P51" i="47"/>
  <c r="Q51" i="47"/>
  <c r="U51" i="47"/>
  <c r="V51" i="47"/>
  <c r="W51" i="47"/>
  <c r="X51" i="47"/>
  <c r="Y51" i="47"/>
  <c r="Z51" i="47"/>
  <c r="AA51" i="47"/>
  <c r="AB51" i="47"/>
  <c r="AC51" i="47"/>
  <c r="AD51" i="47"/>
  <c r="AE51" i="47"/>
  <c r="AF51" i="47"/>
  <c r="AG51" i="47"/>
  <c r="D52" i="47"/>
  <c r="O52" i="47"/>
  <c r="P52" i="47"/>
  <c r="Q52" i="47"/>
  <c r="U52" i="47"/>
  <c r="V52" i="47"/>
  <c r="W52" i="47"/>
  <c r="X52" i="47"/>
  <c r="Y52" i="47"/>
  <c r="Z52" i="47"/>
  <c r="AA52" i="47"/>
  <c r="AB52" i="47"/>
  <c r="AC52" i="47"/>
  <c r="AD52" i="47"/>
  <c r="AE52" i="47"/>
  <c r="AF52" i="47"/>
  <c r="AG52" i="47"/>
  <c r="D53" i="47"/>
  <c r="O53" i="47"/>
  <c r="P53" i="47"/>
  <c r="Q53" i="47"/>
  <c r="U53" i="47"/>
  <c r="V53" i="47"/>
  <c r="W53" i="47"/>
  <c r="X53" i="47"/>
  <c r="Y53" i="47"/>
  <c r="Z53" i="47"/>
  <c r="AA53" i="47"/>
  <c r="AB53" i="47"/>
  <c r="AC53" i="47"/>
  <c r="AD53" i="47"/>
  <c r="AE53" i="47"/>
  <c r="AF53" i="47"/>
  <c r="AG53" i="47"/>
  <c r="D54" i="47"/>
  <c r="O54" i="47"/>
  <c r="P54" i="47"/>
  <c r="Q54" i="47"/>
  <c r="U54" i="47"/>
  <c r="V54" i="47"/>
  <c r="W54" i="47"/>
  <c r="X54" i="47"/>
  <c r="Y54" i="47"/>
  <c r="Z54" i="47"/>
  <c r="AA54" i="47"/>
  <c r="AB54" i="47"/>
  <c r="AC54" i="47"/>
  <c r="AD54" i="47"/>
  <c r="AE54" i="47"/>
  <c r="AF54" i="47"/>
  <c r="AG54" i="47"/>
  <c r="D55" i="47"/>
  <c r="O55" i="47"/>
  <c r="P55" i="47"/>
  <c r="Q55" i="47"/>
  <c r="U55" i="47"/>
  <c r="V55" i="47"/>
  <c r="W55" i="47"/>
  <c r="X55" i="47"/>
  <c r="Y55" i="47"/>
  <c r="Z55" i="47"/>
  <c r="AA55" i="47"/>
  <c r="AB55" i="47"/>
  <c r="AC55" i="47"/>
  <c r="AD55" i="47"/>
  <c r="AE55" i="47"/>
  <c r="AF55" i="47"/>
  <c r="AG55" i="47"/>
  <c r="D56" i="47"/>
  <c r="O56" i="47"/>
  <c r="P56" i="47"/>
  <c r="Q56" i="47"/>
  <c r="U56" i="47"/>
  <c r="V56" i="47"/>
  <c r="W56" i="47"/>
  <c r="X56" i="47"/>
  <c r="Y56" i="47"/>
  <c r="Z56" i="47"/>
  <c r="AA56" i="47"/>
  <c r="AB56" i="47"/>
  <c r="AC56" i="47"/>
  <c r="AD56" i="47"/>
  <c r="AE56" i="47"/>
  <c r="AF56" i="47"/>
  <c r="AG56" i="47"/>
  <c r="D57" i="47"/>
  <c r="O57" i="47"/>
  <c r="P57" i="47"/>
  <c r="Q57" i="47"/>
  <c r="U57" i="47"/>
  <c r="V57" i="47"/>
  <c r="W57" i="47"/>
  <c r="X57" i="47"/>
  <c r="Y57" i="47"/>
  <c r="Z57" i="47"/>
  <c r="AA57" i="47"/>
  <c r="AB57" i="47"/>
  <c r="AC57" i="47"/>
  <c r="AD57" i="47"/>
  <c r="AE57" i="47"/>
  <c r="AF57" i="47"/>
  <c r="AG57" i="47"/>
  <c r="D58" i="47"/>
  <c r="O58" i="47"/>
  <c r="P58" i="47"/>
  <c r="Q58" i="47"/>
  <c r="U58" i="47"/>
  <c r="V58" i="47"/>
  <c r="W58" i="47"/>
  <c r="X58" i="47"/>
  <c r="Y58" i="47"/>
  <c r="Z58" i="47"/>
  <c r="AA58" i="47"/>
  <c r="AB58" i="47"/>
  <c r="AC58" i="47"/>
  <c r="AD58" i="47"/>
  <c r="AE58" i="47"/>
  <c r="AF58" i="47"/>
  <c r="AG58" i="47"/>
  <c r="D59" i="47"/>
  <c r="O59" i="47"/>
  <c r="P59" i="47"/>
  <c r="Q59" i="47"/>
  <c r="U59" i="47"/>
  <c r="V59" i="47"/>
  <c r="W59" i="47"/>
  <c r="X59" i="47"/>
  <c r="Y59" i="47"/>
  <c r="Z59" i="47"/>
  <c r="AA59" i="47"/>
  <c r="AB59" i="47"/>
  <c r="AC59" i="47"/>
  <c r="AD59" i="47"/>
  <c r="AE59" i="47"/>
  <c r="AF59" i="47"/>
  <c r="AG59" i="47"/>
  <c r="D60" i="47"/>
  <c r="O60" i="47"/>
  <c r="P60" i="47"/>
  <c r="Q60" i="47"/>
  <c r="U60" i="47"/>
  <c r="V60" i="47"/>
  <c r="W60" i="47"/>
  <c r="X60" i="47"/>
  <c r="Y60" i="47"/>
  <c r="Z60" i="47"/>
  <c r="AA60" i="47"/>
  <c r="AB60" i="47"/>
  <c r="AC60" i="47"/>
  <c r="AD60" i="47"/>
  <c r="AE60" i="47"/>
  <c r="AF60" i="47"/>
  <c r="AG60" i="47"/>
  <c r="D61" i="47"/>
  <c r="O61" i="47"/>
  <c r="P61" i="47"/>
  <c r="Q61" i="47"/>
  <c r="U61" i="47"/>
  <c r="V61" i="47"/>
  <c r="W61" i="47"/>
  <c r="X61" i="47"/>
  <c r="Y61" i="47"/>
  <c r="Z61" i="47"/>
  <c r="AA61" i="47"/>
  <c r="AB61" i="47"/>
  <c r="AC61" i="47"/>
  <c r="AD61" i="47"/>
  <c r="AE61" i="47"/>
  <c r="AF61" i="47"/>
  <c r="AG61" i="47"/>
  <c r="D62" i="47"/>
  <c r="O62" i="47"/>
  <c r="P62" i="47"/>
  <c r="Q62" i="47"/>
  <c r="U62" i="47"/>
  <c r="V62" i="47"/>
  <c r="W62" i="47"/>
  <c r="X62" i="47"/>
  <c r="Y62" i="47"/>
  <c r="Z62" i="47"/>
  <c r="AA62" i="47"/>
  <c r="AB62" i="47"/>
  <c r="AC62" i="47"/>
  <c r="AD62" i="47"/>
  <c r="AE62" i="47"/>
  <c r="AF62" i="47"/>
  <c r="AG62" i="47"/>
  <c r="D63" i="47"/>
  <c r="O63" i="47"/>
  <c r="P63" i="47"/>
  <c r="Q63" i="47"/>
  <c r="U63" i="47"/>
  <c r="V63" i="47"/>
  <c r="W63" i="47"/>
  <c r="X63" i="47"/>
  <c r="Y63" i="47"/>
  <c r="Z63" i="47"/>
  <c r="AA63" i="47"/>
  <c r="AB63" i="47"/>
  <c r="AC63" i="47"/>
  <c r="AD63" i="47"/>
  <c r="AE63" i="47"/>
  <c r="AF63" i="47"/>
  <c r="AG63" i="47"/>
  <c r="D64" i="47"/>
  <c r="O64" i="47"/>
  <c r="P64" i="47"/>
  <c r="Q64" i="47"/>
  <c r="U64" i="47"/>
  <c r="V64" i="47"/>
  <c r="W64" i="47"/>
  <c r="X64" i="47"/>
  <c r="Y64" i="47"/>
  <c r="Z64" i="47"/>
  <c r="AA64" i="47"/>
  <c r="AB64" i="47"/>
  <c r="AC64" i="47"/>
  <c r="AD64" i="47"/>
  <c r="AE64" i="47"/>
  <c r="AF64" i="47"/>
  <c r="AG64" i="47"/>
  <c r="D65" i="47"/>
  <c r="O65" i="47"/>
  <c r="P65" i="47"/>
  <c r="Q65" i="47"/>
  <c r="U65" i="47"/>
  <c r="V65" i="47"/>
  <c r="W65" i="47"/>
  <c r="X65" i="47"/>
  <c r="Y65" i="47"/>
  <c r="Z65" i="47"/>
  <c r="AA65" i="47"/>
  <c r="AB65" i="47"/>
  <c r="AC65" i="47"/>
  <c r="AD65" i="47"/>
  <c r="AE65" i="47"/>
  <c r="AF65" i="47"/>
  <c r="AG65" i="47"/>
  <c r="D66" i="47"/>
  <c r="O66" i="47"/>
  <c r="P66" i="47"/>
  <c r="Q66" i="47"/>
  <c r="U66" i="47"/>
  <c r="V66" i="47"/>
  <c r="W66" i="47"/>
  <c r="X66" i="47"/>
  <c r="Y66" i="47"/>
  <c r="Z66" i="47"/>
  <c r="AA66" i="47"/>
  <c r="AB66" i="47"/>
  <c r="AC66" i="47"/>
  <c r="AD66" i="47"/>
  <c r="AE66" i="47"/>
  <c r="AF66" i="47"/>
  <c r="AG66" i="47"/>
  <c r="D67" i="47"/>
  <c r="O67" i="47"/>
  <c r="P67" i="47"/>
  <c r="Q67" i="47"/>
  <c r="U67" i="47"/>
  <c r="V67" i="47"/>
  <c r="W67" i="47"/>
  <c r="X67" i="47"/>
  <c r="Y67" i="47"/>
  <c r="Z67" i="47"/>
  <c r="AA67" i="47"/>
  <c r="AB67" i="47"/>
  <c r="AC67" i="47"/>
  <c r="AD67" i="47"/>
  <c r="AE67" i="47"/>
  <c r="AF67" i="47"/>
  <c r="AG67" i="47"/>
  <c r="D68" i="47"/>
  <c r="O68" i="47"/>
  <c r="P68" i="47"/>
  <c r="Q68" i="47"/>
  <c r="U68" i="47"/>
  <c r="V68" i="47"/>
  <c r="W68" i="47"/>
  <c r="X68" i="47"/>
  <c r="Y68" i="47"/>
  <c r="Z68" i="47"/>
  <c r="AA68" i="47"/>
  <c r="AB68" i="47"/>
  <c r="AC68" i="47"/>
  <c r="AD68" i="47"/>
  <c r="AE68" i="47"/>
  <c r="AF68" i="47"/>
  <c r="AG68" i="47"/>
  <c r="D69" i="47"/>
  <c r="O69" i="47"/>
  <c r="P69" i="47"/>
  <c r="Q69" i="47"/>
  <c r="U69" i="47"/>
  <c r="V69" i="47"/>
  <c r="W69" i="47"/>
  <c r="X69" i="47"/>
  <c r="Y69" i="47"/>
  <c r="Z69" i="47"/>
  <c r="AA69" i="47"/>
  <c r="AB69" i="47"/>
  <c r="AC69" i="47"/>
  <c r="AD69" i="47"/>
  <c r="AE69" i="47"/>
  <c r="AF69" i="47"/>
  <c r="AG69" i="47"/>
  <c r="D70" i="47"/>
  <c r="O70" i="47"/>
  <c r="P70" i="47"/>
  <c r="Q70" i="47"/>
  <c r="U70" i="47"/>
  <c r="V70" i="47"/>
  <c r="W70" i="47"/>
  <c r="X70" i="47"/>
  <c r="Y70" i="47"/>
  <c r="Z70" i="47"/>
  <c r="AA70" i="47"/>
  <c r="AB70" i="47"/>
  <c r="AC70" i="47"/>
  <c r="AD70" i="47"/>
  <c r="AE70" i="47"/>
  <c r="AF70" i="47"/>
  <c r="AG70" i="47"/>
  <c r="D71" i="47"/>
  <c r="O71" i="47"/>
  <c r="P71" i="47"/>
  <c r="Q71" i="47"/>
  <c r="U71" i="47"/>
  <c r="V71" i="47"/>
  <c r="W71" i="47"/>
  <c r="X71" i="47"/>
  <c r="Y71" i="47"/>
  <c r="Z71" i="47"/>
  <c r="AA71" i="47"/>
  <c r="AB71" i="47"/>
  <c r="AC71" i="47"/>
  <c r="AD71" i="47"/>
  <c r="AE71" i="47"/>
  <c r="AF71" i="47"/>
  <c r="AG71" i="47"/>
  <c r="D72" i="47"/>
  <c r="O72" i="47"/>
  <c r="P72" i="47"/>
  <c r="Q72" i="47"/>
  <c r="U72" i="47"/>
  <c r="V72" i="47"/>
  <c r="W72" i="47"/>
  <c r="X72" i="47"/>
  <c r="Y72" i="47"/>
  <c r="Z72" i="47"/>
  <c r="AA72" i="47"/>
  <c r="AB72" i="47"/>
  <c r="AC72" i="47"/>
  <c r="AD72" i="47"/>
  <c r="AE72" i="47"/>
  <c r="AF72" i="47"/>
  <c r="AG72" i="47"/>
  <c r="D73" i="47"/>
  <c r="O73" i="47"/>
  <c r="P73" i="47"/>
  <c r="Q73" i="47"/>
  <c r="U73" i="47"/>
  <c r="V73" i="47"/>
  <c r="W73" i="47"/>
  <c r="X73" i="47"/>
  <c r="Y73" i="47"/>
  <c r="Z73" i="47"/>
  <c r="AA73" i="47"/>
  <c r="AB73" i="47"/>
  <c r="AC73" i="47"/>
  <c r="AD73" i="47"/>
  <c r="AE73" i="47"/>
  <c r="AF73" i="47"/>
  <c r="AG73" i="47"/>
  <c r="D74" i="47"/>
  <c r="O74" i="47"/>
  <c r="P74" i="47"/>
  <c r="Q74" i="47"/>
  <c r="U74" i="47"/>
  <c r="V74" i="47"/>
  <c r="W74" i="47"/>
  <c r="X74" i="47"/>
  <c r="Y74" i="47"/>
  <c r="Z74" i="47"/>
  <c r="AA74" i="47"/>
  <c r="AB74" i="47"/>
  <c r="AC74" i="47"/>
  <c r="AD74" i="47"/>
  <c r="AE74" i="47"/>
  <c r="AF74" i="47"/>
  <c r="AG74" i="47"/>
  <c r="D75" i="47"/>
  <c r="O75" i="47"/>
  <c r="P75" i="47"/>
  <c r="Q75" i="47"/>
  <c r="U75" i="47"/>
  <c r="V75" i="47"/>
  <c r="W75" i="47"/>
  <c r="X75" i="47"/>
  <c r="Y75" i="47"/>
  <c r="Z75" i="47"/>
  <c r="AA75" i="47"/>
  <c r="AB75" i="47"/>
  <c r="AC75" i="47"/>
  <c r="AD75" i="47"/>
  <c r="AE75" i="47"/>
  <c r="AF75" i="47"/>
  <c r="AG75" i="47"/>
  <c r="D76" i="47"/>
  <c r="O76" i="47"/>
  <c r="P76" i="47"/>
  <c r="Q76" i="47"/>
  <c r="U76" i="47"/>
  <c r="V76" i="47"/>
  <c r="W76" i="47"/>
  <c r="X76" i="47"/>
  <c r="Y76" i="47"/>
  <c r="Z76" i="47"/>
  <c r="AA76" i="47"/>
  <c r="AB76" i="47"/>
  <c r="AC76" i="47"/>
  <c r="AD76" i="47"/>
  <c r="AE76" i="47"/>
  <c r="AF76" i="47"/>
  <c r="AG76" i="47"/>
  <c r="D77" i="47"/>
  <c r="O77" i="47"/>
  <c r="P77" i="47"/>
  <c r="Q77" i="47"/>
  <c r="U77" i="47"/>
  <c r="V77" i="47"/>
  <c r="W77" i="47"/>
  <c r="X77" i="47"/>
  <c r="Y77" i="47"/>
  <c r="Z77" i="47"/>
  <c r="AA77" i="47"/>
  <c r="AB77" i="47"/>
  <c r="AC77" i="47"/>
  <c r="AD77" i="47"/>
  <c r="AE77" i="47"/>
  <c r="AF77" i="47"/>
  <c r="AG77" i="47"/>
  <c r="D78" i="47"/>
  <c r="O78" i="47"/>
  <c r="P78" i="47"/>
  <c r="Q78" i="47"/>
  <c r="U78" i="47"/>
  <c r="V78" i="47"/>
  <c r="W78" i="47"/>
  <c r="X78" i="47"/>
  <c r="Y78" i="47"/>
  <c r="Z78" i="47"/>
  <c r="AA78" i="47"/>
  <c r="AB78" i="47"/>
  <c r="AC78" i="47"/>
  <c r="AD78" i="47"/>
  <c r="AE78" i="47"/>
  <c r="AF78" i="47"/>
  <c r="AG78" i="47"/>
  <c r="D79" i="47"/>
  <c r="O79" i="47"/>
  <c r="P79" i="47"/>
  <c r="Q79" i="47"/>
  <c r="U79" i="47"/>
  <c r="V79" i="47"/>
  <c r="W79" i="47"/>
  <c r="X79" i="47"/>
  <c r="Y79" i="47"/>
  <c r="Z79" i="47"/>
  <c r="AA79" i="47"/>
  <c r="AB79" i="47"/>
  <c r="AC79" i="47"/>
  <c r="AD79" i="47"/>
  <c r="AE79" i="47"/>
  <c r="AF79" i="47"/>
  <c r="AG79" i="47"/>
  <c r="D80" i="47"/>
  <c r="O80" i="47"/>
  <c r="P80" i="47"/>
  <c r="Q80" i="47"/>
  <c r="U80" i="47"/>
  <c r="V80" i="47"/>
  <c r="W80" i="47"/>
  <c r="X80" i="47"/>
  <c r="Y80" i="47"/>
  <c r="Z80" i="47"/>
  <c r="AA80" i="47"/>
  <c r="AB80" i="47"/>
  <c r="AC80" i="47"/>
  <c r="AD80" i="47"/>
  <c r="AE80" i="47"/>
  <c r="AF80" i="47"/>
  <c r="AG80" i="47"/>
  <c r="D81" i="47"/>
  <c r="O81" i="47"/>
  <c r="P81" i="47"/>
  <c r="Q81" i="47"/>
  <c r="U81" i="47"/>
  <c r="V81" i="47"/>
  <c r="W81" i="47"/>
  <c r="X81" i="47"/>
  <c r="Y81" i="47"/>
  <c r="Z81" i="47"/>
  <c r="AA81" i="47"/>
  <c r="AB81" i="47"/>
  <c r="AC81" i="47"/>
  <c r="AD81" i="47"/>
  <c r="AE81" i="47"/>
  <c r="AF81" i="47"/>
  <c r="AG81" i="47"/>
  <c r="D82" i="47"/>
  <c r="O82" i="47"/>
  <c r="P82" i="47"/>
  <c r="Q82" i="47"/>
  <c r="U82" i="47"/>
  <c r="V82" i="47"/>
  <c r="W82" i="47"/>
  <c r="X82" i="47"/>
  <c r="Y82" i="47"/>
  <c r="Z82" i="47"/>
  <c r="AA82" i="47"/>
  <c r="AB82" i="47"/>
  <c r="AC82" i="47"/>
  <c r="AD82" i="47"/>
  <c r="AE82" i="47"/>
  <c r="AF82" i="47"/>
  <c r="AG82" i="47"/>
  <c r="D83" i="47"/>
  <c r="O83" i="47"/>
  <c r="P83" i="47"/>
  <c r="Q83" i="47"/>
  <c r="U83" i="47"/>
  <c r="V83" i="47"/>
  <c r="W83" i="47"/>
  <c r="X83" i="47"/>
  <c r="Y83" i="47"/>
  <c r="Z83" i="47"/>
  <c r="AA83" i="47"/>
  <c r="AB83" i="47"/>
  <c r="AC83" i="47"/>
  <c r="AD83" i="47"/>
  <c r="AE83" i="47"/>
  <c r="AF83" i="47"/>
  <c r="AG83" i="47"/>
  <c r="D84" i="47"/>
  <c r="O84" i="47"/>
  <c r="P84" i="47"/>
  <c r="Q84" i="47"/>
  <c r="U84" i="47"/>
  <c r="V84" i="47"/>
  <c r="W84" i="47"/>
  <c r="X84" i="47"/>
  <c r="Y84" i="47"/>
  <c r="Z84" i="47"/>
  <c r="AA84" i="47"/>
  <c r="AB84" i="47"/>
  <c r="AC84" i="47"/>
  <c r="AD84" i="47"/>
  <c r="AE84" i="47"/>
  <c r="AF84" i="47"/>
  <c r="AG84" i="47"/>
  <c r="D85" i="47"/>
  <c r="O85" i="47"/>
  <c r="P85" i="47"/>
  <c r="Q85" i="47"/>
  <c r="U85" i="47"/>
  <c r="V85" i="47"/>
  <c r="W85" i="47"/>
  <c r="X85" i="47"/>
  <c r="Y85" i="47"/>
  <c r="Z85" i="47"/>
  <c r="AA85" i="47"/>
  <c r="AB85" i="47"/>
  <c r="AC85" i="47"/>
  <c r="AD85" i="47"/>
  <c r="AE85" i="47"/>
  <c r="AF85" i="47"/>
  <c r="AG85" i="47"/>
  <c r="D86" i="47"/>
  <c r="O86" i="47"/>
  <c r="P86" i="47"/>
  <c r="Q86" i="47"/>
  <c r="U86" i="47"/>
  <c r="V86" i="47"/>
  <c r="W86" i="47"/>
  <c r="X86" i="47"/>
  <c r="Y86" i="47"/>
  <c r="Z86" i="47"/>
  <c r="AA86" i="47"/>
  <c r="AB86" i="47"/>
  <c r="AC86" i="47"/>
  <c r="AD86" i="47"/>
  <c r="AE86" i="47"/>
  <c r="AF86" i="47"/>
  <c r="AG86" i="47"/>
  <c r="D87" i="47"/>
  <c r="O87" i="47"/>
  <c r="P87" i="47"/>
  <c r="Q87" i="47"/>
  <c r="U87" i="47"/>
  <c r="V87" i="47"/>
  <c r="W87" i="47"/>
  <c r="X87" i="47"/>
  <c r="Y87" i="47"/>
  <c r="Z87" i="47"/>
  <c r="AA87" i="47"/>
  <c r="AB87" i="47"/>
  <c r="AC87" i="47"/>
  <c r="AD87" i="47"/>
  <c r="AE87" i="47"/>
  <c r="AF87" i="47"/>
  <c r="AG87" i="47"/>
  <c r="D88" i="47"/>
  <c r="O88" i="47"/>
  <c r="P88" i="47"/>
  <c r="Q88" i="47"/>
  <c r="U88" i="47"/>
  <c r="V88" i="47"/>
  <c r="W88" i="47"/>
  <c r="X88" i="47"/>
  <c r="Y88" i="47"/>
  <c r="Z88" i="47"/>
  <c r="AA88" i="47"/>
  <c r="AB88" i="47"/>
  <c r="AC88" i="47"/>
  <c r="AD88" i="47"/>
  <c r="AE88" i="47"/>
  <c r="AF88" i="47"/>
  <c r="AG88" i="47"/>
  <c r="D89" i="47"/>
  <c r="O89" i="47"/>
  <c r="P89" i="47"/>
  <c r="Q89" i="47"/>
  <c r="U89" i="47"/>
  <c r="V89" i="47"/>
  <c r="W89" i="47"/>
  <c r="X89" i="47"/>
  <c r="Y89" i="47"/>
  <c r="Z89" i="47"/>
  <c r="AA89" i="47"/>
  <c r="AB89" i="47"/>
  <c r="AC89" i="47"/>
  <c r="AD89" i="47"/>
  <c r="AE89" i="47"/>
  <c r="AF89" i="47"/>
  <c r="AG89" i="47"/>
  <c r="D90" i="47"/>
  <c r="O90" i="47"/>
  <c r="P90" i="47"/>
  <c r="Q90" i="47"/>
  <c r="U90" i="47"/>
  <c r="V90" i="47"/>
  <c r="W90" i="47"/>
  <c r="X90" i="47"/>
  <c r="Y90" i="47"/>
  <c r="Z90" i="47"/>
  <c r="AA90" i="47"/>
  <c r="AB90" i="47"/>
  <c r="AC90" i="47"/>
  <c r="AD90" i="47"/>
  <c r="AE90" i="47"/>
  <c r="AF90" i="47"/>
  <c r="AG90" i="47"/>
  <c r="D91" i="47"/>
  <c r="O91" i="47"/>
  <c r="P91" i="47"/>
  <c r="Q91" i="47"/>
  <c r="U91" i="47"/>
  <c r="V91" i="47"/>
  <c r="W91" i="47"/>
  <c r="X91" i="47"/>
  <c r="Y91" i="47"/>
  <c r="Z91" i="47"/>
  <c r="AA91" i="47"/>
  <c r="AB91" i="47"/>
  <c r="AC91" i="47"/>
  <c r="AD91" i="47"/>
  <c r="AE91" i="47"/>
  <c r="AF91" i="47"/>
  <c r="AG91" i="47"/>
  <c r="D92" i="47"/>
  <c r="O92" i="47"/>
  <c r="P92" i="47"/>
  <c r="Q92" i="47"/>
  <c r="U92" i="47"/>
  <c r="V92" i="47"/>
  <c r="W92" i="47"/>
  <c r="X92" i="47"/>
  <c r="Y92" i="47"/>
  <c r="Z92" i="47"/>
  <c r="AA92" i="47"/>
  <c r="AB92" i="47"/>
  <c r="AC92" i="47"/>
  <c r="AD92" i="47"/>
  <c r="AE92" i="47"/>
  <c r="AF92" i="47"/>
  <c r="AG92" i="47"/>
  <c r="D93" i="47"/>
  <c r="O93" i="47"/>
  <c r="P93" i="47"/>
  <c r="Q93" i="47"/>
  <c r="U93" i="47"/>
  <c r="V93" i="47"/>
  <c r="W93" i="47"/>
  <c r="X93" i="47"/>
  <c r="Y93" i="47"/>
  <c r="Z93" i="47"/>
  <c r="AA93" i="47"/>
  <c r="AB93" i="47"/>
  <c r="AC93" i="47"/>
  <c r="AD93" i="47"/>
  <c r="AE93" i="47"/>
  <c r="AF93" i="47"/>
  <c r="AG93" i="47"/>
  <c r="D94" i="47"/>
  <c r="O94" i="47"/>
  <c r="P94" i="47"/>
  <c r="Q94" i="47"/>
  <c r="U94" i="47"/>
  <c r="V94" i="47"/>
  <c r="W94" i="47"/>
  <c r="X94" i="47"/>
  <c r="Y94" i="47"/>
  <c r="Z94" i="47"/>
  <c r="AA94" i="47"/>
  <c r="AB94" i="47"/>
  <c r="AC94" i="47"/>
  <c r="AD94" i="47"/>
  <c r="AE94" i="47"/>
  <c r="AF94" i="47"/>
  <c r="AG94" i="47"/>
  <c r="D95" i="47"/>
  <c r="O95" i="47"/>
  <c r="P95" i="47"/>
  <c r="Q95" i="47"/>
  <c r="U95" i="47"/>
  <c r="V95" i="47"/>
  <c r="W95" i="47"/>
  <c r="X95" i="47"/>
  <c r="Y95" i="47"/>
  <c r="Z95" i="47"/>
  <c r="AA95" i="47"/>
  <c r="AB95" i="47"/>
  <c r="AC95" i="47"/>
  <c r="AD95" i="47"/>
  <c r="AE95" i="47"/>
  <c r="AF95" i="47"/>
  <c r="AG95" i="47"/>
  <c r="D96" i="47"/>
  <c r="O96" i="47"/>
  <c r="P96" i="47"/>
  <c r="Q96" i="47"/>
  <c r="U96" i="47"/>
  <c r="V96" i="47"/>
  <c r="W96" i="47"/>
  <c r="X96" i="47"/>
  <c r="Y96" i="47"/>
  <c r="Z96" i="47"/>
  <c r="AA96" i="47"/>
  <c r="AB96" i="47"/>
  <c r="AC96" i="47"/>
  <c r="AD96" i="47"/>
  <c r="AE96" i="47"/>
  <c r="AF96" i="47"/>
  <c r="AG96" i="47"/>
  <c r="D97" i="47"/>
  <c r="O97" i="47"/>
  <c r="P97" i="47"/>
  <c r="Q97" i="47"/>
  <c r="U97" i="47"/>
  <c r="V97" i="47"/>
  <c r="W97" i="47"/>
  <c r="X97" i="47"/>
  <c r="Y97" i="47"/>
  <c r="Z97" i="47"/>
  <c r="AA97" i="47"/>
  <c r="AB97" i="47"/>
  <c r="AC97" i="47"/>
  <c r="AD97" i="47"/>
  <c r="AE97" i="47"/>
  <c r="AF97" i="47"/>
  <c r="AG97" i="47"/>
  <c r="D98" i="47"/>
  <c r="O98" i="47"/>
  <c r="P98" i="47"/>
  <c r="Q98" i="47"/>
  <c r="U98" i="47"/>
  <c r="V98" i="47"/>
  <c r="W98" i="47"/>
  <c r="X98" i="47"/>
  <c r="Y98" i="47"/>
  <c r="Z98" i="47"/>
  <c r="AA98" i="47"/>
  <c r="AB98" i="47"/>
  <c r="AC98" i="47"/>
  <c r="AD98" i="47"/>
  <c r="AE98" i="47"/>
  <c r="AF98" i="47"/>
  <c r="AG98" i="47"/>
  <c r="D99" i="47"/>
  <c r="O99" i="47"/>
  <c r="P99" i="47"/>
  <c r="Q99" i="47"/>
  <c r="U99" i="47"/>
  <c r="V99" i="47"/>
  <c r="W99" i="47"/>
  <c r="X99" i="47"/>
  <c r="Y99" i="47"/>
  <c r="Z99" i="47"/>
  <c r="AA99" i="47"/>
  <c r="AB99" i="47"/>
  <c r="AC99" i="47"/>
  <c r="AD99" i="47"/>
  <c r="AE99" i="47"/>
  <c r="AF99" i="47"/>
  <c r="AG99" i="47"/>
  <c r="D100" i="47"/>
  <c r="O100" i="47"/>
  <c r="P100" i="47"/>
  <c r="Q100" i="47"/>
  <c r="U100" i="47"/>
  <c r="V100" i="47"/>
  <c r="W100" i="47"/>
  <c r="X100" i="47"/>
  <c r="Y100" i="47"/>
  <c r="Z100" i="47"/>
  <c r="AA100" i="47"/>
  <c r="AB100" i="47"/>
  <c r="AC100" i="47"/>
  <c r="AD100" i="47"/>
  <c r="AE100" i="47"/>
  <c r="AF100" i="47"/>
  <c r="AG100" i="47"/>
  <c r="D101" i="47"/>
  <c r="O101" i="47"/>
  <c r="P101" i="47"/>
  <c r="Q101" i="47"/>
  <c r="U101" i="47"/>
  <c r="V101" i="47"/>
  <c r="W101" i="47"/>
  <c r="X101" i="47"/>
  <c r="Y101" i="47"/>
  <c r="Z101" i="47"/>
  <c r="AA101" i="47"/>
  <c r="AB101" i="47"/>
  <c r="AC101" i="47"/>
  <c r="AD101" i="47"/>
  <c r="AE101" i="47"/>
  <c r="AF101" i="47"/>
  <c r="AG101" i="47"/>
  <c r="D102" i="47"/>
  <c r="O102" i="47"/>
  <c r="P102" i="47"/>
  <c r="Q102" i="47"/>
  <c r="U102" i="47"/>
  <c r="V102" i="47"/>
  <c r="W102" i="47"/>
  <c r="X102" i="47"/>
  <c r="Y102" i="47"/>
  <c r="Z102" i="47"/>
  <c r="AA102" i="47"/>
  <c r="AB102" i="47"/>
  <c r="AC102" i="47"/>
  <c r="AD102" i="47"/>
  <c r="AE102" i="47"/>
  <c r="AF102" i="47"/>
  <c r="AG102" i="47"/>
  <c r="D103" i="47"/>
  <c r="O103" i="47"/>
  <c r="P103" i="47"/>
  <c r="Q103" i="47"/>
  <c r="U103" i="47"/>
  <c r="V103" i="47"/>
  <c r="W103" i="47"/>
  <c r="X103" i="47"/>
  <c r="Y103" i="47"/>
  <c r="Z103" i="47"/>
  <c r="AA103" i="47"/>
  <c r="AB103" i="47"/>
  <c r="AC103" i="47"/>
  <c r="AD103" i="47"/>
  <c r="AE103" i="47"/>
  <c r="AF103" i="47"/>
  <c r="AG103" i="47"/>
  <c r="D104" i="47"/>
  <c r="O104" i="47"/>
  <c r="P104" i="47"/>
  <c r="Q104" i="47"/>
  <c r="U104" i="47"/>
  <c r="V104" i="47"/>
  <c r="W104" i="47"/>
  <c r="X104" i="47"/>
  <c r="Y104" i="47"/>
  <c r="Z104" i="47"/>
  <c r="AA104" i="47"/>
  <c r="AB104" i="47"/>
  <c r="AC104" i="47"/>
  <c r="AD104" i="47"/>
  <c r="AE104" i="47"/>
  <c r="AF104" i="47"/>
  <c r="AG104" i="47"/>
  <c r="D105" i="47"/>
  <c r="O105" i="47"/>
  <c r="P105" i="47"/>
  <c r="Q105" i="47"/>
  <c r="U105" i="47"/>
  <c r="V105" i="47"/>
  <c r="W105" i="47"/>
  <c r="X105" i="47"/>
  <c r="Y105" i="47"/>
  <c r="Z105" i="47"/>
  <c r="AA105" i="47"/>
  <c r="AB105" i="47"/>
  <c r="AC105" i="47"/>
  <c r="AD105" i="47"/>
  <c r="AE105" i="47"/>
  <c r="AF105" i="47"/>
  <c r="AG105" i="47"/>
  <c r="D106" i="47"/>
  <c r="O106" i="47"/>
  <c r="P106" i="47"/>
  <c r="Q106" i="47"/>
  <c r="U106" i="47"/>
  <c r="V106" i="47"/>
  <c r="W106" i="47"/>
  <c r="X106" i="47"/>
  <c r="Y106" i="47"/>
  <c r="Z106" i="47"/>
  <c r="AA106" i="47"/>
  <c r="AB106" i="47"/>
  <c r="AC106" i="47"/>
  <c r="AD106" i="47"/>
  <c r="AE106" i="47"/>
  <c r="AF106" i="47"/>
  <c r="AG106" i="47"/>
  <c r="D107" i="47"/>
  <c r="O107" i="47"/>
  <c r="P107" i="47"/>
  <c r="Q107" i="47"/>
  <c r="U107" i="47"/>
  <c r="V107" i="47"/>
  <c r="W107" i="47"/>
  <c r="X107" i="47"/>
  <c r="Y107" i="47"/>
  <c r="Z107" i="47"/>
  <c r="AA107" i="47"/>
  <c r="AB107" i="47"/>
  <c r="AC107" i="47"/>
  <c r="AD107" i="47"/>
  <c r="AE107" i="47"/>
  <c r="AF107" i="47"/>
  <c r="AG107" i="47"/>
  <c r="D108" i="47"/>
  <c r="O108" i="47"/>
  <c r="P108" i="47"/>
  <c r="Q108" i="47"/>
  <c r="U108" i="47"/>
  <c r="V108" i="47"/>
  <c r="W108" i="47"/>
  <c r="X108" i="47"/>
  <c r="Y108" i="47"/>
  <c r="Z108" i="47"/>
  <c r="AA108" i="47"/>
  <c r="AB108" i="47"/>
  <c r="AC108" i="47"/>
  <c r="AD108" i="47"/>
  <c r="AE108" i="47"/>
  <c r="AF108" i="47"/>
  <c r="AG108" i="47"/>
  <c r="D109" i="47"/>
  <c r="O109" i="47"/>
  <c r="P109" i="47"/>
  <c r="Q109" i="47"/>
  <c r="U109" i="47"/>
  <c r="V109" i="47"/>
  <c r="W109" i="47"/>
  <c r="X109" i="47"/>
  <c r="Y109" i="47"/>
  <c r="Z109" i="47"/>
  <c r="AA109" i="47"/>
  <c r="AB109" i="47"/>
  <c r="AC109" i="47"/>
  <c r="AD109" i="47"/>
  <c r="AE109" i="47"/>
  <c r="AF109" i="47"/>
  <c r="AG109" i="47"/>
  <c r="D110" i="47"/>
  <c r="O110" i="47"/>
  <c r="P110" i="47"/>
  <c r="Q110" i="47"/>
  <c r="U110" i="47"/>
  <c r="V110" i="47"/>
  <c r="W110" i="47"/>
  <c r="X110" i="47"/>
  <c r="Y110" i="47"/>
  <c r="Z110" i="47"/>
  <c r="AA110" i="47"/>
  <c r="AB110" i="47"/>
  <c r="AC110" i="47"/>
  <c r="AD110" i="47"/>
  <c r="AE110" i="47"/>
  <c r="AF110" i="47"/>
  <c r="AG110" i="47"/>
  <c r="D111" i="47"/>
  <c r="O111" i="47"/>
  <c r="P111" i="47"/>
  <c r="Q111" i="47"/>
  <c r="U111" i="47"/>
  <c r="V111" i="47"/>
  <c r="W111" i="47"/>
  <c r="X111" i="47"/>
  <c r="Y111" i="47"/>
  <c r="Z111" i="47"/>
  <c r="AA111" i="47"/>
  <c r="AB111" i="47"/>
  <c r="AC111" i="47"/>
  <c r="AD111" i="47"/>
  <c r="AE111" i="47"/>
  <c r="AF111" i="47"/>
  <c r="AG111" i="47"/>
  <c r="D112" i="47"/>
  <c r="O112" i="47"/>
  <c r="P112" i="47"/>
  <c r="Q112" i="47"/>
  <c r="U112" i="47"/>
  <c r="V112" i="47"/>
  <c r="W112" i="47"/>
  <c r="X112" i="47"/>
  <c r="Y112" i="47"/>
  <c r="Z112" i="47"/>
  <c r="AA112" i="47"/>
  <c r="AB112" i="47"/>
  <c r="AC112" i="47"/>
  <c r="AD112" i="47"/>
  <c r="AE112" i="47"/>
  <c r="AF112" i="47"/>
  <c r="AG112" i="47"/>
  <c r="D113" i="47"/>
  <c r="O113" i="47"/>
  <c r="P113" i="47"/>
  <c r="Q113" i="47"/>
  <c r="U113" i="47"/>
  <c r="V113" i="47"/>
  <c r="W113" i="47"/>
  <c r="X113" i="47"/>
  <c r="Y113" i="47"/>
  <c r="Z113" i="47"/>
  <c r="AA113" i="47"/>
  <c r="AB113" i="47"/>
  <c r="AC113" i="47"/>
  <c r="AD113" i="47"/>
  <c r="AE113" i="47"/>
  <c r="AF113" i="47"/>
  <c r="AG113" i="47"/>
  <c r="D114" i="47"/>
  <c r="O114" i="47"/>
  <c r="P114" i="47"/>
  <c r="Q114" i="47"/>
  <c r="U114" i="47"/>
  <c r="V114" i="47"/>
  <c r="W114" i="47"/>
  <c r="X114" i="47"/>
  <c r="Y114" i="47"/>
  <c r="Z114" i="47"/>
  <c r="AA114" i="47"/>
  <c r="AB114" i="47"/>
  <c r="AC114" i="47"/>
  <c r="AD114" i="47"/>
  <c r="AE114" i="47"/>
  <c r="AF114" i="47"/>
  <c r="AG114" i="47"/>
  <c r="D115" i="47"/>
  <c r="O115" i="47"/>
  <c r="P115" i="47"/>
  <c r="Q115" i="47"/>
  <c r="U115" i="47"/>
  <c r="V115" i="47"/>
  <c r="W115" i="47"/>
  <c r="X115" i="47"/>
  <c r="Y115" i="47"/>
  <c r="Z115" i="47"/>
  <c r="AA115" i="47"/>
  <c r="AB115" i="47"/>
  <c r="AC115" i="47"/>
  <c r="AD115" i="47"/>
  <c r="AE115" i="47"/>
  <c r="AF115" i="47"/>
  <c r="AG115" i="47"/>
  <c r="D116" i="47"/>
  <c r="O116" i="47"/>
  <c r="P116" i="47"/>
  <c r="Q116" i="47"/>
  <c r="U116" i="47"/>
  <c r="V116" i="47"/>
  <c r="W116" i="47"/>
  <c r="X116" i="47"/>
  <c r="Y116" i="47"/>
  <c r="Z116" i="47"/>
  <c r="AA116" i="47"/>
  <c r="AB116" i="47"/>
  <c r="AC116" i="47"/>
  <c r="AD116" i="47"/>
  <c r="AE116" i="47"/>
  <c r="AF116" i="47"/>
  <c r="AG116" i="47"/>
  <c r="D117" i="47"/>
  <c r="O117" i="47"/>
  <c r="P117" i="47"/>
  <c r="Q117" i="47"/>
  <c r="U117" i="47"/>
  <c r="V117" i="47"/>
  <c r="W117" i="47"/>
  <c r="X117" i="47"/>
  <c r="Y117" i="47"/>
  <c r="Z117" i="47"/>
  <c r="AA117" i="47"/>
  <c r="AB117" i="47"/>
  <c r="AC117" i="47"/>
  <c r="AD117" i="47"/>
  <c r="AE117" i="47"/>
  <c r="AF117" i="47"/>
  <c r="AG117" i="47"/>
  <c r="D118" i="47"/>
  <c r="O118" i="47"/>
  <c r="P118" i="47"/>
  <c r="Q118" i="47"/>
  <c r="U118" i="47"/>
  <c r="V118" i="47"/>
  <c r="W118" i="47"/>
  <c r="X118" i="47"/>
  <c r="Y118" i="47"/>
  <c r="Z118" i="47"/>
  <c r="AA118" i="47"/>
  <c r="AB118" i="47"/>
  <c r="AC118" i="47"/>
  <c r="AD118" i="47"/>
  <c r="AE118" i="47"/>
  <c r="AF118" i="47"/>
  <c r="AG118" i="47"/>
  <c r="D119" i="47"/>
  <c r="O119" i="47"/>
  <c r="P119" i="47"/>
  <c r="Q119" i="47"/>
  <c r="U119" i="47"/>
  <c r="V119" i="47"/>
  <c r="W119" i="47"/>
  <c r="X119" i="47"/>
  <c r="Y119" i="47"/>
  <c r="Z119" i="47"/>
  <c r="AA119" i="47"/>
  <c r="AB119" i="47"/>
  <c r="AC119" i="47"/>
  <c r="AD119" i="47"/>
  <c r="AE119" i="47"/>
  <c r="AF119" i="47"/>
  <c r="AG119" i="47"/>
  <c r="D120" i="47"/>
  <c r="O120" i="47"/>
  <c r="P120" i="47"/>
  <c r="Q120" i="47"/>
  <c r="U120" i="47"/>
  <c r="V120" i="47"/>
  <c r="W120" i="47"/>
  <c r="X120" i="47"/>
  <c r="Y120" i="47"/>
  <c r="Z120" i="47"/>
  <c r="AA120" i="47"/>
  <c r="AB120" i="47"/>
  <c r="AC120" i="47"/>
  <c r="AD120" i="47"/>
  <c r="AE120" i="47"/>
  <c r="AF120" i="47"/>
  <c r="AG120" i="47"/>
  <c r="D121" i="47"/>
  <c r="O121" i="47"/>
  <c r="P121" i="47"/>
  <c r="Q121" i="47"/>
  <c r="U121" i="47"/>
  <c r="V121" i="47"/>
  <c r="W121" i="47"/>
  <c r="X121" i="47"/>
  <c r="Y121" i="47"/>
  <c r="Z121" i="47"/>
  <c r="AA121" i="47"/>
  <c r="AB121" i="47"/>
  <c r="AC121" i="47"/>
  <c r="AD121" i="47"/>
  <c r="AE121" i="47"/>
  <c r="AF121" i="47"/>
  <c r="AG121" i="47"/>
  <c r="D122" i="47"/>
  <c r="O122" i="47"/>
  <c r="P122" i="47"/>
  <c r="Q122" i="47"/>
  <c r="U122" i="47"/>
  <c r="V122" i="47"/>
  <c r="W122" i="47"/>
  <c r="X122" i="47"/>
  <c r="Y122" i="47"/>
  <c r="Z122" i="47"/>
  <c r="AA122" i="47"/>
  <c r="AB122" i="47"/>
  <c r="AC122" i="47"/>
  <c r="AD122" i="47"/>
  <c r="AE122" i="47"/>
  <c r="AF122" i="47"/>
  <c r="AG122" i="47"/>
  <c r="D123" i="47"/>
  <c r="O123" i="47"/>
  <c r="P123" i="47"/>
  <c r="Q123" i="47"/>
  <c r="U123" i="47"/>
  <c r="V123" i="47"/>
  <c r="W123" i="47"/>
  <c r="X123" i="47"/>
  <c r="Y123" i="47"/>
  <c r="Z123" i="47"/>
  <c r="AA123" i="47"/>
  <c r="AB123" i="47"/>
  <c r="AC123" i="47"/>
  <c r="AD123" i="47"/>
  <c r="AE123" i="47"/>
  <c r="AF123" i="47"/>
  <c r="AG123" i="47"/>
  <c r="D124" i="47"/>
  <c r="O124" i="47"/>
  <c r="P124" i="47"/>
  <c r="Q124" i="47"/>
  <c r="U124" i="47"/>
  <c r="V124" i="47"/>
  <c r="W124" i="47"/>
  <c r="X124" i="47"/>
  <c r="Y124" i="47"/>
  <c r="Z124" i="47"/>
  <c r="AA124" i="47"/>
  <c r="AB124" i="47"/>
  <c r="AC124" i="47"/>
  <c r="AD124" i="47"/>
  <c r="AE124" i="47"/>
  <c r="AF124" i="47"/>
  <c r="AG124" i="47"/>
  <c r="D125" i="47"/>
  <c r="O125" i="47"/>
  <c r="P125" i="47"/>
  <c r="Q125" i="47"/>
  <c r="U125" i="47"/>
  <c r="V125" i="47"/>
  <c r="W125" i="47"/>
  <c r="X125" i="47"/>
  <c r="Y125" i="47"/>
  <c r="Z125" i="47"/>
  <c r="AA125" i="47"/>
  <c r="AB125" i="47"/>
  <c r="AC125" i="47"/>
  <c r="AD125" i="47"/>
  <c r="AE125" i="47"/>
  <c r="AF125" i="47"/>
  <c r="AG125" i="47"/>
  <c r="D126" i="47"/>
  <c r="O126" i="47"/>
  <c r="P126" i="47"/>
  <c r="Q126" i="47"/>
  <c r="U126" i="47"/>
  <c r="V126" i="47"/>
  <c r="W126" i="47"/>
  <c r="X126" i="47"/>
  <c r="Y126" i="47"/>
  <c r="Z126" i="47"/>
  <c r="AA126" i="47"/>
  <c r="AB126" i="47"/>
  <c r="AC126" i="47"/>
  <c r="AD126" i="47"/>
  <c r="AE126" i="47"/>
  <c r="AF126" i="47"/>
  <c r="AG126" i="47"/>
  <c r="D127" i="47"/>
  <c r="O127" i="47"/>
  <c r="P127" i="47"/>
  <c r="Q127" i="47"/>
  <c r="U127" i="47"/>
  <c r="V127" i="47"/>
  <c r="W127" i="47"/>
  <c r="X127" i="47"/>
  <c r="Y127" i="47"/>
  <c r="Z127" i="47"/>
  <c r="AA127" i="47"/>
  <c r="AB127" i="47"/>
  <c r="AC127" i="47"/>
  <c r="AD127" i="47"/>
  <c r="AE127" i="47"/>
  <c r="AF127" i="47"/>
  <c r="AG127" i="47"/>
  <c r="D128" i="47"/>
  <c r="O128" i="47"/>
  <c r="P128" i="47"/>
  <c r="Q128" i="47"/>
  <c r="U128" i="47"/>
  <c r="V128" i="47"/>
  <c r="W128" i="47"/>
  <c r="X128" i="47"/>
  <c r="Y128" i="47"/>
  <c r="Z128" i="47"/>
  <c r="AA128" i="47"/>
  <c r="AB128" i="47"/>
  <c r="AC128" i="47"/>
  <c r="AD128" i="47"/>
  <c r="AE128" i="47"/>
  <c r="AF128" i="47"/>
  <c r="AG128" i="47"/>
  <c r="D129" i="47"/>
  <c r="O129" i="47"/>
  <c r="P129" i="47"/>
  <c r="Q129" i="47"/>
  <c r="U129" i="47"/>
  <c r="V129" i="47"/>
  <c r="W129" i="47"/>
  <c r="X129" i="47"/>
  <c r="Y129" i="47"/>
  <c r="Z129" i="47"/>
  <c r="AA129" i="47"/>
  <c r="AB129" i="47"/>
  <c r="AC129" i="47"/>
  <c r="AD129" i="47"/>
  <c r="AE129" i="47"/>
  <c r="AF129" i="47"/>
  <c r="AG129" i="47"/>
  <c r="D130" i="47"/>
  <c r="O130" i="47"/>
  <c r="P130" i="47"/>
  <c r="Q130" i="47"/>
  <c r="U130" i="47"/>
  <c r="V130" i="47"/>
  <c r="W130" i="47"/>
  <c r="X130" i="47"/>
  <c r="Y130" i="47"/>
  <c r="Z130" i="47"/>
  <c r="AA130" i="47"/>
  <c r="AB130" i="47"/>
  <c r="AC130" i="47"/>
  <c r="AD130" i="47"/>
  <c r="AE130" i="47"/>
  <c r="AF130" i="47"/>
  <c r="AG130" i="47"/>
  <c r="D131" i="47"/>
  <c r="O131" i="47"/>
  <c r="P131" i="47"/>
  <c r="Q131" i="47"/>
  <c r="U131" i="47"/>
  <c r="V131" i="47"/>
  <c r="W131" i="47"/>
  <c r="X131" i="47"/>
  <c r="Y131" i="47"/>
  <c r="Z131" i="47"/>
  <c r="AA131" i="47"/>
  <c r="AB131" i="47"/>
  <c r="AC131" i="47"/>
  <c r="AD131" i="47"/>
  <c r="AE131" i="47"/>
  <c r="AF131" i="47"/>
  <c r="AG131" i="47"/>
  <c r="D132" i="47"/>
  <c r="O132" i="47"/>
  <c r="P132" i="47"/>
  <c r="Q132" i="47"/>
  <c r="U132" i="47"/>
  <c r="V132" i="47"/>
  <c r="W132" i="47"/>
  <c r="X132" i="47"/>
  <c r="Y132" i="47"/>
  <c r="Z132" i="47"/>
  <c r="AA132" i="47"/>
  <c r="AB132" i="47"/>
  <c r="AC132" i="47"/>
  <c r="AD132" i="47"/>
  <c r="AE132" i="47"/>
  <c r="AF132" i="47"/>
  <c r="AG132" i="47"/>
  <c r="D133" i="47"/>
  <c r="O133" i="47"/>
  <c r="P133" i="47"/>
  <c r="Q133" i="47"/>
  <c r="U133" i="47"/>
  <c r="V133" i="47"/>
  <c r="W133" i="47"/>
  <c r="X133" i="47"/>
  <c r="Y133" i="47"/>
  <c r="Z133" i="47"/>
  <c r="AA133" i="47"/>
  <c r="AB133" i="47"/>
  <c r="AC133" i="47"/>
  <c r="AD133" i="47"/>
  <c r="AE133" i="47"/>
  <c r="AF133" i="47"/>
  <c r="AG133" i="47"/>
  <c r="D134" i="47"/>
  <c r="O134" i="47"/>
  <c r="P134" i="47"/>
  <c r="Q134" i="47"/>
  <c r="U134" i="47"/>
  <c r="V134" i="47"/>
  <c r="W134" i="47"/>
  <c r="X134" i="47"/>
  <c r="Y134" i="47"/>
  <c r="Z134" i="47"/>
  <c r="AA134" i="47"/>
  <c r="AB134" i="47"/>
  <c r="AC134" i="47"/>
  <c r="AD134" i="47"/>
  <c r="AE134" i="47"/>
  <c r="AF134" i="47"/>
  <c r="AG134" i="47"/>
  <c r="D135" i="47"/>
  <c r="O135" i="47"/>
  <c r="P135" i="47"/>
  <c r="Q135" i="47"/>
  <c r="U135" i="47"/>
  <c r="V135" i="47"/>
  <c r="W135" i="47"/>
  <c r="X135" i="47"/>
  <c r="Y135" i="47"/>
  <c r="Z135" i="47"/>
  <c r="AA135" i="47"/>
  <c r="AB135" i="47"/>
  <c r="AC135" i="47"/>
  <c r="AD135" i="47"/>
  <c r="AE135" i="47"/>
  <c r="AF135" i="47"/>
  <c r="AG135" i="47"/>
  <c r="D136" i="47"/>
  <c r="O136" i="47"/>
  <c r="P136" i="47"/>
  <c r="Q136" i="47"/>
  <c r="U136" i="47"/>
  <c r="V136" i="47"/>
  <c r="W136" i="47"/>
  <c r="X136" i="47"/>
  <c r="Y136" i="47"/>
  <c r="Z136" i="47"/>
  <c r="AA136" i="47"/>
  <c r="AB136" i="47"/>
  <c r="AC136" i="47"/>
  <c r="AD136" i="47"/>
  <c r="AE136" i="47"/>
  <c r="AF136" i="47"/>
  <c r="AG136" i="47"/>
  <c r="D137" i="47"/>
  <c r="O137" i="47"/>
  <c r="P137" i="47"/>
  <c r="Q137" i="47"/>
  <c r="U137" i="47"/>
  <c r="V137" i="47"/>
  <c r="W137" i="47"/>
  <c r="X137" i="47"/>
  <c r="Y137" i="47"/>
  <c r="Z137" i="47"/>
  <c r="AA137" i="47"/>
  <c r="AB137" i="47"/>
  <c r="AC137" i="47"/>
  <c r="AD137" i="47"/>
  <c r="AE137" i="47"/>
  <c r="AF137" i="47"/>
  <c r="AG137" i="47"/>
  <c r="D138" i="47"/>
  <c r="O138" i="47"/>
  <c r="P138" i="47"/>
  <c r="Q138" i="47"/>
  <c r="U138" i="47"/>
  <c r="V138" i="47"/>
  <c r="W138" i="47"/>
  <c r="X138" i="47"/>
  <c r="Y138" i="47"/>
  <c r="Z138" i="47"/>
  <c r="AA138" i="47"/>
  <c r="AB138" i="47"/>
  <c r="AC138" i="47"/>
  <c r="AD138" i="47"/>
  <c r="AE138" i="47"/>
  <c r="AF138" i="47"/>
  <c r="AG138" i="47"/>
  <c r="D139" i="47"/>
  <c r="O139" i="47"/>
  <c r="P139" i="47"/>
  <c r="Q139" i="47"/>
  <c r="U139" i="47"/>
  <c r="V139" i="47"/>
  <c r="W139" i="47"/>
  <c r="X139" i="47"/>
  <c r="Y139" i="47"/>
  <c r="Z139" i="47"/>
  <c r="AA139" i="47"/>
  <c r="AB139" i="47"/>
  <c r="AC139" i="47"/>
  <c r="AD139" i="47"/>
  <c r="AE139" i="47"/>
  <c r="AF139" i="47"/>
  <c r="AG139" i="47"/>
  <c r="D17" i="48"/>
  <c r="I17" i="48"/>
  <c r="M17" i="48"/>
  <c r="N17" i="48"/>
  <c r="O17" i="48"/>
  <c r="P17" i="48"/>
  <c r="Q17" i="48"/>
  <c r="M213" i="48"/>
  <c r="I213" i="48"/>
  <c r="N213" i="48"/>
  <c r="S213" i="48"/>
  <c r="M212" i="48"/>
  <c r="I212" i="48"/>
  <c r="N212" i="48"/>
  <c r="S212" i="48"/>
  <c r="M211" i="48"/>
  <c r="I211" i="48"/>
  <c r="N211" i="48"/>
  <c r="S211" i="48"/>
  <c r="M210" i="48"/>
  <c r="I210" i="48"/>
  <c r="N210" i="48"/>
  <c r="S210" i="48"/>
  <c r="M209" i="48"/>
  <c r="I209" i="48"/>
  <c r="N209" i="48"/>
  <c r="S209" i="48"/>
  <c r="M208" i="48"/>
  <c r="I208" i="48"/>
  <c r="N208" i="48"/>
  <c r="S208" i="48"/>
  <c r="M207" i="48"/>
  <c r="I207" i="48"/>
  <c r="N207" i="48"/>
  <c r="S207" i="48"/>
  <c r="M206" i="48"/>
  <c r="I206" i="48"/>
  <c r="N206" i="48"/>
  <c r="S206" i="48"/>
  <c r="M205" i="48"/>
  <c r="I205" i="48"/>
  <c r="N205" i="48"/>
  <c r="S205" i="48"/>
  <c r="M204" i="48"/>
  <c r="I204" i="48"/>
  <c r="N204" i="48"/>
  <c r="S204" i="48"/>
  <c r="M203" i="48"/>
  <c r="I203" i="48"/>
  <c r="N203" i="48"/>
  <c r="S203" i="48"/>
  <c r="M202" i="48"/>
  <c r="I202" i="48"/>
  <c r="N202" i="48"/>
  <c r="S202" i="48"/>
  <c r="M201" i="48"/>
  <c r="I201" i="48"/>
  <c r="N201" i="48"/>
  <c r="S201" i="48"/>
  <c r="M200" i="48"/>
  <c r="I200" i="48"/>
  <c r="N200" i="48"/>
  <c r="S200" i="48"/>
  <c r="M199" i="48"/>
  <c r="I199" i="48"/>
  <c r="N199" i="48"/>
  <c r="S199" i="48"/>
  <c r="M198" i="48"/>
  <c r="I198" i="48"/>
  <c r="N198" i="48"/>
  <c r="S198" i="48"/>
  <c r="M197" i="48"/>
  <c r="I197" i="48"/>
  <c r="N197" i="48"/>
  <c r="S197" i="48"/>
  <c r="M196" i="48"/>
  <c r="I196" i="48"/>
  <c r="N196" i="48"/>
  <c r="S196" i="48"/>
  <c r="M195" i="48"/>
  <c r="I195" i="48"/>
  <c r="N195" i="48"/>
  <c r="S195" i="48"/>
  <c r="M194" i="48"/>
  <c r="I194" i="48"/>
  <c r="N194" i="48"/>
  <c r="S194" i="48"/>
  <c r="M193" i="48"/>
  <c r="I193" i="48"/>
  <c r="N193" i="48"/>
  <c r="S193" i="48"/>
  <c r="M192" i="48"/>
  <c r="I192" i="48"/>
  <c r="N192" i="48"/>
  <c r="S192" i="48"/>
  <c r="M191" i="48"/>
  <c r="I191" i="48"/>
  <c r="N191" i="48"/>
  <c r="S191" i="48"/>
  <c r="M190" i="48"/>
  <c r="I190" i="48"/>
  <c r="N190" i="48"/>
  <c r="S190" i="48"/>
  <c r="M189" i="48"/>
  <c r="I189" i="48"/>
  <c r="N189" i="48"/>
  <c r="S189" i="48"/>
  <c r="M188" i="48"/>
  <c r="I188" i="48"/>
  <c r="N188" i="48"/>
  <c r="S188" i="48"/>
  <c r="M187" i="48"/>
  <c r="I187" i="48"/>
  <c r="N187" i="48"/>
  <c r="S187" i="48"/>
  <c r="M186" i="48"/>
  <c r="I186" i="48"/>
  <c r="N186" i="48"/>
  <c r="S186" i="48"/>
  <c r="M185" i="48"/>
  <c r="I185" i="48"/>
  <c r="N185" i="48"/>
  <c r="S185" i="48"/>
  <c r="M184" i="48"/>
  <c r="I184" i="48"/>
  <c r="N184" i="48"/>
  <c r="S184" i="48"/>
  <c r="M183" i="48"/>
  <c r="I183" i="48"/>
  <c r="N183" i="48"/>
  <c r="S183" i="48"/>
  <c r="M182" i="48"/>
  <c r="I182" i="48"/>
  <c r="N182" i="48"/>
  <c r="S182" i="48"/>
  <c r="M181" i="48"/>
  <c r="I181" i="48"/>
  <c r="N181" i="48"/>
  <c r="S181" i="48"/>
  <c r="M180" i="48"/>
  <c r="I180" i="48"/>
  <c r="N180" i="48"/>
  <c r="S180" i="48"/>
  <c r="M179" i="48"/>
  <c r="I179" i="48"/>
  <c r="N179" i="48"/>
  <c r="S179" i="48"/>
  <c r="M178" i="48"/>
  <c r="I178" i="48"/>
  <c r="N178" i="48"/>
  <c r="S178" i="48"/>
  <c r="M177" i="48"/>
  <c r="I177" i="48"/>
  <c r="N177" i="48"/>
  <c r="S177" i="48"/>
  <c r="M176" i="48"/>
  <c r="I176" i="48"/>
  <c r="N176" i="48"/>
  <c r="S176" i="48"/>
  <c r="M175" i="48"/>
  <c r="I175" i="48"/>
  <c r="N175" i="48"/>
  <c r="S175" i="48"/>
  <c r="M174" i="48"/>
  <c r="I174" i="48"/>
  <c r="N174" i="48"/>
  <c r="S174" i="48"/>
  <c r="M173" i="48"/>
  <c r="I173" i="48"/>
  <c r="N173" i="48"/>
  <c r="S173" i="48"/>
  <c r="M172" i="48"/>
  <c r="I172" i="48"/>
  <c r="N172" i="48"/>
  <c r="S172" i="48"/>
  <c r="M171" i="48"/>
  <c r="I171" i="48"/>
  <c r="N171" i="48"/>
  <c r="S171" i="48"/>
  <c r="M170" i="48"/>
  <c r="I170" i="48"/>
  <c r="N170" i="48"/>
  <c r="S170" i="48"/>
  <c r="M169" i="48"/>
  <c r="I169" i="48"/>
  <c r="N169" i="48"/>
  <c r="S169" i="48"/>
  <c r="M168" i="48"/>
  <c r="I168" i="48"/>
  <c r="N168" i="48"/>
  <c r="S168" i="48"/>
  <c r="M167" i="48"/>
  <c r="I167" i="48"/>
  <c r="N167" i="48"/>
  <c r="S167" i="48"/>
  <c r="M166" i="48"/>
  <c r="I166" i="48"/>
  <c r="N166" i="48"/>
  <c r="S166" i="48"/>
  <c r="M165" i="48"/>
  <c r="I165" i="48"/>
  <c r="N165" i="48"/>
  <c r="S165" i="48"/>
  <c r="M164" i="48"/>
  <c r="I164" i="48"/>
  <c r="N164" i="48"/>
  <c r="S164" i="48"/>
  <c r="M163" i="48"/>
  <c r="I163" i="48"/>
  <c r="N163" i="48"/>
  <c r="S163" i="48"/>
  <c r="M162" i="48"/>
  <c r="I162" i="48"/>
  <c r="N162" i="48"/>
  <c r="S162" i="48"/>
  <c r="M161" i="48"/>
  <c r="I161" i="48"/>
  <c r="N161" i="48"/>
  <c r="S161" i="48"/>
  <c r="M160" i="48"/>
  <c r="I160" i="48"/>
  <c r="N160" i="48"/>
  <c r="S160" i="48"/>
  <c r="M159" i="48"/>
  <c r="I159" i="48"/>
  <c r="N159" i="48"/>
  <c r="S159" i="48"/>
  <c r="M158" i="48"/>
  <c r="I158" i="48"/>
  <c r="N158" i="48"/>
  <c r="S158" i="48"/>
  <c r="M157" i="48"/>
  <c r="I157" i="48"/>
  <c r="N157" i="48"/>
  <c r="S157" i="48"/>
  <c r="M156" i="48"/>
  <c r="I156" i="48"/>
  <c r="N156" i="48"/>
  <c r="S156" i="48"/>
  <c r="M155" i="48"/>
  <c r="I155" i="48"/>
  <c r="N155" i="48"/>
  <c r="S155" i="48"/>
  <c r="M154" i="48"/>
  <c r="I154" i="48"/>
  <c r="N154" i="48"/>
  <c r="S154" i="48"/>
  <c r="M153" i="48"/>
  <c r="I153" i="48"/>
  <c r="N153" i="48"/>
  <c r="S153" i="48"/>
  <c r="M152" i="48"/>
  <c r="I152" i="48"/>
  <c r="N152" i="48"/>
  <c r="S152" i="48"/>
  <c r="M151" i="48"/>
  <c r="I151" i="48"/>
  <c r="N151" i="48"/>
  <c r="S151" i="48"/>
  <c r="M150" i="48"/>
  <c r="I150" i="48"/>
  <c r="N150" i="48"/>
  <c r="S150" i="48"/>
  <c r="M149" i="48"/>
  <c r="I149" i="48"/>
  <c r="N149" i="48"/>
  <c r="S149" i="48"/>
  <c r="M148" i="48"/>
  <c r="I148" i="48"/>
  <c r="N148" i="48"/>
  <c r="S148" i="48"/>
  <c r="M147" i="48"/>
  <c r="I147" i="48"/>
  <c r="N147" i="48"/>
  <c r="S147" i="48"/>
  <c r="M146" i="48"/>
  <c r="I146" i="48"/>
  <c r="N146" i="48"/>
  <c r="S146" i="48"/>
  <c r="M145" i="48"/>
  <c r="I145" i="48"/>
  <c r="N145" i="48"/>
  <c r="S145" i="48"/>
  <c r="M144" i="48"/>
  <c r="I144" i="48"/>
  <c r="N144" i="48"/>
  <c r="S144" i="48"/>
  <c r="M143" i="48"/>
  <c r="I143" i="48"/>
  <c r="N143" i="48"/>
  <c r="S143" i="48"/>
  <c r="M142" i="48"/>
  <c r="I142" i="48"/>
  <c r="N142" i="48"/>
  <c r="S142" i="48"/>
  <c r="M141" i="48"/>
  <c r="I141" i="48"/>
  <c r="N141" i="48"/>
  <c r="S141" i="48"/>
  <c r="M140" i="48"/>
  <c r="I140" i="48"/>
  <c r="N140" i="48"/>
  <c r="S140" i="48"/>
  <c r="M139" i="48"/>
  <c r="I139" i="48"/>
  <c r="N139" i="48"/>
  <c r="S139" i="48"/>
  <c r="M138" i="48"/>
  <c r="I138" i="48"/>
  <c r="N138" i="48"/>
  <c r="S138" i="48"/>
  <c r="M137" i="48"/>
  <c r="I137" i="48"/>
  <c r="N137" i="48"/>
  <c r="S137" i="48"/>
  <c r="M136" i="48"/>
  <c r="I136" i="48"/>
  <c r="N136" i="48"/>
  <c r="S136" i="48"/>
  <c r="M135" i="48"/>
  <c r="I135" i="48"/>
  <c r="N135" i="48"/>
  <c r="S135" i="48"/>
  <c r="M134" i="48"/>
  <c r="I134" i="48"/>
  <c r="N134" i="48"/>
  <c r="S134" i="48"/>
  <c r="M133" i="48"/>
  <c r="I133" i="48"/>
  <c r="N133" i="48"/>
  <c r="S133" i="48"/>
  <c r="M132" i="48"/>
  <c r="I132" i="48"/>
  <c r="N132" i="48"/>
  <c r="S132" i="48"/>
  <c r="M131" i="48"/>
  <c r="I131" i="48"/>
  <c r="N131" i="48"/>
  <c r="S131" i="48"/>
  <c r="M130" i="48"/>
  <c r="I130" i="48"/>
  <c r="N130" i="48"/>
  <c r="S130" i="48"/>
  <c r="M129" i="48"/>
  <c r="I129" i="48"/>
  <c r="N129" i="48"/>
  <c r="S129" i="48"/>
  <c r="M128" i="48"/>
  <c r="I128" i="48"/>
  <c r="N128" i="48"/>
  <c r="S128" i="48"/>
  <c r="M127" i="48"/>
  <c r="I127" i="48"/>
  <c r="N127" i="48"/>
  <c r="S127" i="48"/>
  <c r="M126" i="48"/>
  <c r="I126" i="48"/>
  <c r="N126" i="48"/>
  <c r="S126" i="48"/>
  <c r="M125" i="48"/>
  <c r="I125" i="48"/>
  <c r="N125" i="48"/>
  <c r="S125" i="48"/>
  <c r="M124" i="48"/>
  <c r="I124" i="48"/>
  <c r="N124" i="48"/>
  <c r="S124" i="48"/>
  <c r="M123" i="48"/>
  <c r="I123" i="48"/>
  <c r="N123" i="48"/>
  <c r="S123" i="48"/>
  <c r="M122" i="48"/>
  <c r="I122" i="48"/>
  <c r="N122" i="48"/>
  <c r="S122" i="48"/>
  <c r="M121" i="48"/>
  <c r="I121" i="48"/>
  <c r="N121" i="48"/>
  <c r="S121" i="48"/>
  <c r="M120" i="48"/>
  <c r="I120" i="48"/>
  <c r="N120" i="48"/>
  <c r="S120" i="48"/>
  <c r="M119" i="48"/>
  <c r="I119" i="48"/>
  <c r="N119" i="48"/>
  <c r="S119" i="48"/>
  <c r="M118" i="48"/>
  <c r="I118" i="48"/>
  <c r="N118" i="48"/>
  <c r="S118" i="48"/>
  <c r="M117" i="48"/>
  <c r="I117" i="48"/>
  <c r="N117" i="48"/>
  <c r="S117" i="48"/>
  <c r="M116" i="48"/>
  <c r="I116" i="48"/>
  <c r="N116" i="48"/>
  <c r="S116" i="48"/>
  <c r="M115" i="48"/>
  <c r="I115" i="48"/>
  <c r="N115" i="48"/>
  <c r="S115" i="48"/>
  <c r="M114" i="48"/>
  <c r="I114" i="48"/>
  <c r="N114" i="48"/>
  <c r="S114" i="48"/>
  <c r="M113" i="48"/>
  <c r="I113" i="48"/>
  <c r="N113" i="48"/>
  <c r="S113" i="48"/>
  <c r="M112" i="48"/>
  <c r="I112" i="48"/>
  <c r="N112" i="48"/>
  <c r="S112" i="48"/>
  <c r="M111" i="48"/>
  <c r="I111" i="48"/>
  <c r="N111" i="48"/>
  <c r="S111" i="48"/>
  <c r="M110" i="48"/>
  <c r="I110" i="48"/>
  <c r="N110" i="48"/>
  <c r="S110" i="48"/>
  <c r="M109" i="48"/>
  <c r="I109" i="48"/>
  <c r="N109" i="48"/>
  <c r="S109" i="48"/>
  <c r="M108" i="48"/>
  <c r="I108" i="48"/>
  <c r="N108" i="48"/>
  <c r="S108" i="48"/>
  <c r="M107" i="48"/>
  <c r="I107" i="48"/>
  <c r="N107" i="48"/>
  <c r="S107" i="48"/>
  <c r="M106" i="48"/>
  <c r="I106" i="48"/>
  <c r="N106" i="48"/>
  <c r="S106" i="48"/>
  <c r="M105" i="48"/>
  <c r="I105" i="48"/>
  <c r="N105" i="48"/>
  <c r="S105" i="48"/>
  <c r="M104" i="48"/>
  <c r="I104" i="48"/>
  <c r="N104" i="48"/>
  <c r="S104" i="48"/>
  <c r="M103" i="48"/>
  <c r="I103" i="48"/>
  <c r="N103" i="48"/>
  <c r="S103" i="48"/>
  <c r="M102" i="48"/>
  <c r="I102" i="48"/>
  <c r="N102" i="48"/>
  <c r="S102" i="48"/>
  <c r="M101" i="48"/>
  <c r="I101" i="48"/>
  <c r="N101" i="48"/>
  <c r="S101" i="48"/>
  <c r="M100" i="48"/>
  <c r="I100" i="48"/>
  <c r="N100" i="48"/>
  <c r="S100" i="48"/>
  <c r="M99" i="48"/>
  <c r="I99" i="48"/>
  <c r="N99" i="48"/>
  <c r="S99" i="48"/>
  <c r="M98" i="48"/>
  <c r="I98" i="48"/>
  <c r="N98" i="48"/>
  <c r="S98" i="48"/>
  <c r="M97" i="48"/>
  <c r="I97" i="48"/>
  <c r="N97" i="48"/>
  <c r="S97" i="48"/>
  <c r="M96" i="48"/>
  <c r="I96" i="48"/>
  <c r="N96" i="48"/>
  <c r="S96" i="48"/>
  <c r="M95" i="48"/>
  <c r="I95" i="48"/>
  <c r="N95" i="48"/>
  <c r="S95" i="48"/>
  <c r="M94" i="48"/>
  <c r="I94" i="48"/>
  <c r="N94" i="48"/>
  <c r="S94" i="48"/>
  <c r="M93" i="48"/>
  <c r="I93" i="48"/>
  <c r="N93" i="48"/>
  <c r="S93" i="48"/>
  <c r="M92" i="48"/>
  <c r="I92" i="48"/>
  <c r="N92" i="48"/>
  <c r="S92" i="48"/>
  <c r="M91" i="48"/>
  <c r="I91" i="48"/>
  <c r="N91" i="48"/>
  <c r="S91" i="48"/>
  <c r="M90" i="48"/>
  <c r="I90" i="48"/>
  <c r="N90" i="48"/>
  <c r="S90" i="48"/>
  <c r="M89" i="48"/>
  <c r="I89" i="48"/>
  <c r="N89" i="48"/>
  <c r="S89" i="48"/>
  <c r="M88" i="48"/>
  <c r="I88" i="48"/>
  <c r="N88" i="48"/>
  <c r="S88" i="48"/>
  <c r="M87" i="48"/>
  <c r="I87" i="48"/>
  <c r="N87" i="48"/>
  <c r="S87" i="48"/>
  <c r="M86" i="48"/>
  <c r="I86" i="48"/>
  <c r="N86" i="48"/>
  <c r="S86" i="48"/>
  <c r="M85" i="48"/>
  <c r="I85" i="48"/>
  <c r="N85" i="48"/>
  <c r="S85" i="48"/>
  <c r="M84" i="48"/>
  <c r="I84" i="48"/>
  <c r="N84" i="48"/>
  <c r="S84" i="48"/>
  <c r="M83" i="48"/>
  <c r="I83" i="48"/>
  <c r="N83" i="48"/>
  <c r="S83" i="48"/>
  <c r="M82" i="48"/>
  <c r="I82" i="48"/>
  <c r="N82" i="48"/>
  <c r="S82" i="48"/>
  <c r="M81" i="48"/>
  <c r="I81" i="48"/>
  <c r="N81" i="48"/>
  <c r="S81" i="48"/>
  <c r="M80" i="48"/>
  <c r="I80" i="48"/>
  <c r="N80" i="48"/>
  <c r="S80" i="48"/>
  <c r="M79" i="48"/>
  <c r="I79" i="48"/>
  <c r="N79" i="48"/>
  <c r="S79" i="48"/>
  <c r="M78" i="48"/>
  <c r="I78" i="48"/>
  <c r="N78" i="48"/>
  <c r="S78" i="48"/>
  <c r="M77" i="48"/>
  <c r="I77" i="48"/>
  <c r="N77" i="48"/>
  <c r="S77" i="48"/>
  <c r="M76" i="48"/>
  <c r="I76" i="48"/>
  <c r="N76" i="48"/>
  <c r="S76" i="48"/>
  <c r="M75" i="48"/>
  <c r="I75" i="48"/>
  <c r="N75" i="48"/>
  <c r="S75" i="48"/>
  <c r="M74" i="48"/>
  <c r="I74" i="48"/>
  <c r="N74" i="48"/>
  <c r="S74" i="48"/>
  <c r="M73" i="48"/>
  <c r="I73" i="48"/>
  <c r="N73" i="48"/>
  <c r="S73" i="48"/>
  <c r="M72" i="48"/>
  <c r="I72" i="48"/>
  <c r="N72" i="48"/>
  <c r="S72" i="48"/>
  <c r="M71" i="48"/>
  <c r="I71" i="48"/>
  <c r="N71" i="48"/>
  <c r="S71" i="48"/>
  <c r="M70" i="48"/>
  <c r="I70" i="48"/>
  <c r="N70" i="48"/>
  <c r="S70" i="48"/>
  <c r="M69" i="48"/>
  <c r="I69" i="48"/>
  <c r="N69" i="48"/>
  <c r="S69" i="48"/>
  <c r="M68" i="48"/>
  <c r="I68" i="48"/>
  <c r="N68" i="48"/>
  <c r="S68" i="48"/>
  <c r="M67" i="48"/>
  <c r="I67" i="48"/>
  <c r="N67" i="48"/>
  <c r="S67" i="48"/>
  <c r="M66" i="48"/>
  <c r="I66" i="48"/>
  <c r="N66" i="48"/>
  <c r="S66" i="48"/>
  <c r="M65" i="48"/>
  <c r="I65" i="48"/>
  <c r="N65" i="48"/>
  <c r="S65" i="48"/>
  <c r="M64" i="48"/>
  <c r="I64" i="48"/>
  <c r="N64" i="48"/>
  <c r="S64" i="48"/>
  <c r="M63" i="48"/>
  <c r="I63" i="48"/>
  <c r="N63" i="48"/>
  <c r="S63" i="48"/>
  <c r="M62" i="48"/>
  <c r="I62" i="48"/>
  <c r="N62" i="48"/>
  <c r="S62" i="48"/>
  <c r="M61" i="48"/>
  <c r="I61" i="48"/>
  <c r="N61" i="48"/>
  <c r="S61" i="48"/>
  <c r="M60" i="48"/>
  <c r="I60" i="48"/>
  <c r="N60" i="48"/>
  <c r="S60" i="48"/>
  <c r="M59" i="48"/>
  <c r="I59" i="48"/>
  <c r="N59" i="48"/>
  <c r="S59" i="48"/>
  <c r="M58" i="48"/>
  <c r="I58" i="48"/>
  <c r="N58" i="48"/>
  <c r="S58" i="48"/>
  <c r="M57" i="48"/>
  <c r="I57" i="48"/>
  <c r="N57" i="48"/>
  <c r="S57" i="48"/>
  <c r="M56" i="48"/>
  <c r="I56" i="48"/>
  <c r="N56" i="48"/>
  <c r="S56" i="48"/>
  <c r="M55" i="48"/>
  <c r="I55" i="48"/>
  <c r="N55" i="48"/>
  <c r="S55" i="48"/>
  <c r="M54" i="48"/>
  <c r="I54" i="48"/>
  <c r="N54" i="48"/>
  <c r="S54" i="48"/>
  <c r="M53" i="48"/>
  <c r="I53" i="48"/>
  <c r="N53" i="48"/>
  <c r="S53" i="48"/>
  <c r="M52" i="48"/>
  <c r="I52" i="48"/>
  <c r="N52" i="48"/>
  <c r="S52" i="48"/>
  <c r="M51" i="48"/>
  <c r="I51" i="48"/>
  <c r="N51" i="48"/>
  <c r="S51" i="48"/>
  <c r="M50" i="48"/>
  <c r="I50" i="48"/>
  <c r="N50" i="48"/>
  <c r="S50" i="48"/>
  <c r="M49" i="48"/>
  <c r="I49" i="48"/>
  <c r="N49" i="48"/>
  <c r="S49" i="48"/>
  <c r="M48" i="48"/>
  <c r="I48" i="48"/>
  <c r="N48" i="48"/>
  <c r="S48" i="48"/>
  <c r="M47" i="48"/>
  <c r="I47" i="48"/>
  <c r="N47" i="48"/>
  <c r="S47" i="48"/>
  <c r="M46" i="48"/>
  <c r="I46" i="48"/>
  <c r="N46" i="48"/>
  <c r="S46" i="48"/>
  <c r="M45" i="48"/>
  <c r="I45" i="48"/>
  <c r="N45" i="48"/>
  <c r="S45" i="48"/>
  <c r="M44" i="48"/>
  <c r="I44" i="48"/>
  <c r="N44" i="48"/>
  <c r="S44" i="48"/>
  <c r="M43" i="48"/>
  <c r="I43" i="48"/>
  <c r="N43" i="48"/>
  <c r="S43" i="48"/>
  <c r="M42" i="48"/>
  <c r="I42" i="48"/>
  <c r="N42" i="48"/>
  <c r="S42" i="48"/>
  <c r="M41" i="48"/>
  <c r="I41" i="48"/>
  <c r="N41" i="48"/>
  <c r="S41" i="48"/>
  <c r="M40" i="48"/>
  <c r="I40" i="48"/>
  <c r="N40" i="48"/>
  <c r="S40" i="48"/>
  <c r="M39" i="48"/>
  <c r="I39" i="48"/>
  <c r="N39" i="48"/>
  <c r="S39" i="48"/>
  <c r="M38" i="48"/>
  <c r="I38" i="48"/>
  <c r="N38" i="48"/>
  <c r="S38" i="48"/>
  <c r="M37" i="48"/>
  <c r="I37" i="48"/>
  <c r="N37" i="48"/>
  <c r="S37" i="48"/>
  <c r="M36" i="48"/>
  <c r="I36" i="48"/>
  <c r="N36" i="48"/>
  <c r="S36" i="48"/>
  <c r="M35" i="48"/>
  <c r="I35" i="48"/>
  <c r="N35" i="48"/>
  <c r="S35" i="48"/>
  <c r="M34" i="48"/>
  <c r="I34" i="48"/>
  <c r="N34" i="48"/>
  <c r="S34" i="48"/>
  <c r="M33" i="48"/>
  <c r="I33" i="48"/>
  <c r="N33" i="48"/>
  <c r="S33" i="48"/>
  <c r="M32" i="48"/>
  <c r="I32" i="48"/>
  <c r="N32" i="48"/>
  <c r="S32" i="48"/>
  <c r="M31" i="48"/>
  <c r="I31" i="48"/>
  <c r="N31" i="48"/>
  <c r="S31" i="48"/>
  <c r="M30" i="48"/>
  <c r="I30" i="48"/>
  <c r="N30" i="48"/>
  <c r="S30" i="48"/>
  <c r="M29" i="48"/>
  <c r="I29" i="48"/>
  <c r="N29" i="48"/>
  <c r="S29" i="48"/>
  <c r="M28" i="48"/>
  <c r="I28" i="48"/>
  <c r="N28" i="48"/>
  <c r="S28" i="48"/>
  <c r="M27" i="48"/>
  <c r="I27" i="48"/>
  <c r="N27" i="48"/>
  <c r="S27" i="48"/>
  <c r="M26" i="48"/>
  <c r="I26" i="48"/>
  <c r="N26" i="48"/>
  <c r="S26" i="48"/>
  <c r="M25" i="48"/>
  <c r="I25" i="48"/>
  <c r="N25" i="48"/>
  <c r="S25" i="48"/>
  <c r="M24" i="48"/>
  <c r="I24" i="48"/>
  <c r="N24" i="48"/>
  <c r="S24" i="48"/>
  <c r="M23" i="48"/>
  <c r="I23" i="48"/>
  <c r="N23" i="48"/>
  <c r="S23" i="48"/>
  <c r="M22" i="48"/>
  <c r="I22" i="48"/>
  <c r="N22" i="48"/>
  <c r="S22" i="48"/>
  <c r="M21" i="48"/>
  <c r="I21" i="48"/>
  <c r="N21" i="48"/>
  <c r="S21" i="48"/>
  <c r="M20" i="48"/>
  <c r="I20" i="48"/>
  <c r="N20" i="48"/>
  <c r="S20" i="48"/>
  <c r="M19" i="48"/>
  <c r="I19" i="48"/>
  <c r="N19" i="48"/>
  <c r="S19" i="48"/>
  <c r="M18" i="48"/>
  <c r="I18" i="48"/>
  <c r="N18" i="48"/>
  <c r="S18" i="48"/>
  <c r="R213" i="48"/>
  <c r="R212" i="48"/>
  <c r="R211" i="48"/>
  <c r="R210" i="48"/>
  <c r="R209" i="48"/>
  <c r="R208" i="48"/>
  <c r="R207" i="48"/>
  <c r="R206" i="48"/>
  <c r="R205" i="48"/>
  <c r="R204" i="48"/>
  <c r="R203" i="48"/>
  <c r="R202" i="48"/>
  <c r="R201" i="48"/>
  <c r="R200" i="48"/>
  <c r="R199" i="48"/>
  <c r="R198" i="48"/>
  <c r="R197" i="48"/>
  <c r="R196" i="48"/>
  <c r="R195" i="48"/>
  <c r="R194" i="48"/>
  <c r="R193" i="48"/>
  <c r="R192" i="48"/>
  <c r="R191" i="48"/>
  <c r="R190" i="48"/>
  <c r="R189" i="48"/>
  <c r="R188" i="48"/>
  <c r="R187" i="48"/>
  <c r="R186" i="48"/>
  <c r="R185" i="48"/>
  <c r="R184" i="48"/>
  <c r="R183" i="48"/>
  <c r="R182" i="48"/>
  <c r="R181" i="48"/>
  <c r="R180" i="48"/>
  <c r="R179" i="48"/>
  <c r="R178" i="48"/>
  <c r="R177" i="48"/>
  <c r="R176" i="48"/>
  <c r="R175" i="48"/>
  <c r="R174" i="48"/>
  <c r="R173" i="48"/>
  <c r="R172" i="48"/>
  <c r="R171" i="48"/>
  <c r="R170" i="48"/>
  <c r="R169" i="48"/>
  <c r="R168" i="48"/>
  <c r="R167" i="48"/>
  <c r="R166" i="48"/>
  <c r="R165" i="48"/>
  <c r="R164" i="48"/>
  <c r="R163" i="48"/>
  <c r="R162" i="48"/>
  <c r="R161" i="48"/>
  <c r="R160" i="48"/>
  <c r="R159" i="48"/>
  <c r="R158" i="48"/>
  <c r="R157" i="48"/>
  <c r="R156" i="48"/>
  <c r="R155" i="48"/>
  <c r="R154" i="48"/>
  <c r="R153" i="48"/>
  <c r="R152" i="48"/>
  <c r="R151" i="48"/>
  <c r="R150" i="48"/>
  <c r="R149" i="48"/>
  <c r="R148" i="48"/>
  <c r="R147" i="48"/>
  <c r="R146" i="48"/>
  <c r="R145" i="48"/>
  <c r="R144" i="48"/>
  <c r="R143" i="48"/>
  <c r="R142" i="48"/>
  <c r="R141" i="48"/>
  <c r="R140" i="48"/>
  <c r="R139" i="48"/>
  <c r="R138" i="48"/>
  <c r="R137" i="48"/>
  <c r="R136" i="48"/>
  <c r="R135" i="48"/>
  <c r="R134" i="48"/>
  <c r="R133" i="48"/>
  <c r="R132" i="48"/>
  <c r="R131" i="48"/>
  <c r="R130" i="48"/>
  <c r="R129" i="48"/>
  <c r="R128" i="48"/>
  <c r="R127" i="48"/>
  <c r="R126" i="48"/>
  <c r="R125" i="48"/>
  <c r="R124" i="48"/>
  <c r="R123" i="48"/>
  <c r="R122" i="48"/>
  <c r="R121" i="48"/>
  <c r="R120" i="48"/>
  <c r="R119" i="48"/>
  <c r="R118" i="48"/>
  <c r="R117" i="48"/>
  <c r="R116" i="48"/>
  <c r="R115" i="48"/>
  <c r="R114" i="48"/>
  <c r="R113" i="48"/>
  <c r="R112" i="48"/>
  <c r="R111" i="48"/>
  <c r="R110" i="48"/>
  <c r="R109" i="48"/>
  <c r="R108" i="48"/>
  <c r="R107" i="48"/>
  <c r="R106" i="48"/>
  <c r="R105" i="48"/>
  <c r="R104" i="48"/>
  <c r="R103" i="48"/>
  <c r="R102" i="48"/>
  <c r="R101" i="48"/>
  <c r="R100" i="48"/>
  <c r="R99" i="48"/>
  <c r="R98" i="48"/>
  <c r="R97" i="48"/>
  <c r="R96" i="48"/>
  <c r="R95" i="48"/>
  <c r="R94" i="48"/>
  <c r="R93" i="48"/>
  <c r="R92" i="48"/>
  <c r="R91" i="48"/>
  <c r="R90" i="48"/>
  <c r="R89" i="48"/>
  <c r="R88" i="48"/>
  <c r="R87" i="48"/>
  <c r="R86" i="48"/>
  <c r="R85" i="48"/>
  <c r="R84" i="48"/>
  <c r="R83" i="48"/>
  <c r="R82" i="48"/>
  <c r="R81" i="48"/>
  <c r="R80" i="48"/>
  <c r="R79" i="48"/>
  <c r="R78" i="48"/>
  <c r="R77" i="48"/>
  <c r="R76" i="48"/>
  <c r="R75" i="48"/>
  <c r="R74" i="48"/>
  <c r="R73" i="48"/>
  <c r="R72" i="48"/>
  <c r="R71" i="48"/>
  <c r="R70" i="48"/>
  <c r="R69" i="48"/>
  <c r="R68" i="48"/>
  <c r="R67" i="48"/>
  <c r="R66" i="48"/>
  <c r="R65" i="48"/>
  <c r="R64" i="48"/>
  <c r="R63" i="48"/>
  <c r="R62" i="48"/>
  <c r="R61" i="48"/>
  <c r="R60" i="48"/>
  <c r="R59" i="48"/>
  <c r="R58" i="48"/>
  <c r="R57" i="48"/>
  <c r="R56" i="48"/>
  <c r="R55" i="48"/>
  <c r="R54" i="48"/>
  <c r="R53" i="48"/>
  <c r="R52" i="48"/>
  <c r="R51" i="48"/>
  <c r="R50" i="48"/>
  <c r="R49" i="48"/>
  <c r="R48" i="48"/>
  <c r="R47" i="48"/>
  <c r="R46" i="48"/>
  <c r="R45" i="48"/>
  <c r="R44" i="48"/>
  <c r="R43" i="48"/>
  <c r="R42" i="48"/>
  <c r="R41" i="48"/>
  <c r="R40" i="48"/>
  <c r="R39" i="48"/>
  <c r="R38" i="48"/>
  <c r="R37" i="48"/>
  <c r="R36" i="48"/>
  <c r="R35" i="48"/>
  <c r="R34" i="48"/>
  <c r="R33" i="48"/>
  <c r="R32" i="48"/>
  <c r="R31" i="48"/>
  <c r="R30" i="48"/>
  <c r="R29" i="48"/>
  <c r="R28" i="48"/>
  <c r="R27" i="48"/>
  <c r="R26" i="48"/>
  <c r="R25" i="48"/>
  <c r="R24" i="48"/>
  <c r="R23" i="48"/>
  <c r="R22" i="48"/>
  <c r="R21" i="48"/>
  <c r="R20" i="48"/>
  <c r="R19" i="48"/>
  <c r="R18" i="48"/>
  <c r="R17" i="48"/>
  <c r="S17" i="48"/>
  <c r="T213" i="48"/>
  <c r="T212" i="48"/>
  <c r="T211" i="48"/>
  <c r="T210" i="48"/>
  <c r="T209" i="48"/>
  <c r="T208" i="48"/>
  <c r="T207" i="48"/>
  <c r="T206" i="48"/>
  <c r="T205" i="48"/>
  <c r="T204" i="48"/>
  <c r="T203" i="48"/>
  <c r="T202" i="48"/>
  <c r="T201" i="48"/>
  <c r="T200" i="48"/>
  <c r="T199" i="48"/>
  <c r="T198" i="48"/>
  <c r="T197" i="48"/>
  <c r="T196" i="48"/>
  <c r="T195" i="48"/>
  <c r="T194" i="48"/>
  <c r="T193" i="48"/>
  <c r="T192" i="48"/>
  <c r="T191" i="48"/>
  <c r="T190" i="48"/>
  <c r="T189" i="48"/>
  <c r="T188" i="48"/>
  <c r="T187" i="48"/>
  <c r="T186" i="48"/>
  <c r="T185" i="48"/>
  <c r="T184" i="48"/>
  <c r="T183" i="48"/>
  <c r="T182" i="48"/>
  <c r="T181" i="48"/>
  <c r="T180" i="48"/>
  <c r="T179" i="48"/>
  <c r="T178" i="48"/>
  <c r="T177" i="48"/>
  <c r="T176" i="48"/>
  <c r="T175" i="48"/>
  <c r="T174" i="48"/>
  <c r="T173" i="48"/>
  <c r="T172" i="48"/>
  <c r="T171" i="48"/>
  <c r="T170" i="48"/>
  <c r="T169" i="48"/>
  <c r="T168" i="48"/>
  <c r="T167" i="48"/>
  <c r="T166" i="48"/>
  <c r="T165" i="48"/>
  <c r="T164" i="48"/>
  <c r="T163" i="48"/>
  <c r="T162" i="48"/>
  <c r="T161" i="48"/>
  <c r="T160" i="48"/>
  <c r="T159" i="48"/>
  <c r="T158" i="48"/>
  <c r="T157" i="48"/>
  <c r="T156" i="48"/>
  <c r="T155" i="48"/>
  <c r="T154" i="48"/>
  <c r="T153" i="48"/>
  <c r="T152" i="48"/>
  <c r="T151" i="48"/>
  <c r="T150" i="48"/>
  <c r="T149" i="48"/>
  <c r="T148" i="48"/>
  <c r="T147" i="48"/>
  <c r="T146" i="48"/>
  <c r="T145" i="48"/>
  <c r="T144" i="48"/>
  <c r="T143" i="48"/>
  <c r="T142" i="48"/>
  <c r="T141" i="48"/>
  <c r="T140" i="48"/>
  <c r="T139" i="48"/>
  <c r="T138" i="48"/>
  <c r="T137" i="48"/>
  <c r="T136" i="48"/>
  <c r="T135" i="48"/>
  <c r="T134" i="48"/>
  <c r="T133" i="48"/>
  <c r="T132" i="48"/>
  <c r="T131" i="48"/>
  <c r="T130" i="48"/>
  <c r="T129" i="48"/>
  <c r="T128" i="48"/>
  <c r="T127" i="48"/>
  <c r="T126" i="48"/>
  <c r="T125" i="48"/>
  <c r="T124" i="48"/>
  <c r="T123" i="48"/>
  <c r="T122" i="48"/>
  <c r="T121" i="48"/>
  <c r="T120" i="48"/>
  <c r="T119" i="48"/>
  <c r="T118" i="48"/>
  <c r="T117" i="48"/>
  <c r="T116" i="48"/>
  <c r="T115" i="48"/>
  <c r="T114" i="48"/>
  <c r="T113" i="48"/>
  <c r="T112" i="48"/>
  <c r="T111" i="48"/>
  <c r="T110" i="48"/>
  <c r="T109" i="48"/>
  <c r="T108" i="48"/>
  <c r="T107" i="48"/>
  <c r="T106" i="48"/>
  <c r="T105" i="48"/>
  <c r="T104" i="48"/>
  <c r="T103" i="48"/>
  <c r="T102" i="48"/>
  <c r="T101" i="48"/>
  <c r="T100" i="48"/>
  <c r="T99" i="48"/>
  <c r="T98" i="48"/>
  <c r="T97" i="48"/>
  <c r="T96" i="48"/>
  <c r="T95" i="48"/>
  <c r="T94" i="48"/>
  <c r="T93" i="48"/>
  <c r="T92" i="48"/>
  <c r="T91" i="48"/>
  <c r="T90" i="48"/>
  <c r="T89" i="48"/>
  <c r="T88" i="48"/>
  <c r="T87" i="48"/>
  <c r="T86" i="48"/>
  <c r="T85" i="48"/>
  <c r="T84" i="48"/>
  <c r="T83" i="48"/>
  <c r="T82" i="48"/>
  <c r="T81" i="48"/>
  <c r="T80" i="48"/>
  <c r="T79" i="48"/>
  <c r="T78" i="48"/>
  <c r="T77" i="48"/>
  <c r="T76" i="48"/>
  <c r="T75" i="48"/>
  <c r="T74" i="48"/>
  <c r="T73" i="48"/>
  <c r="T72" i="48"/>
  <c r="T71" i="48"/>
  <c r="T70" i="48"/>
  <c r="T69" i="48"/>
  <c r="T68" i="48"/>
  <c r="T67" i="48"/>
  <c r="T66" i="48"/>
  <c r="T65" i="48"/>
  <c r="T64" i="48"/>
  <c r="T63" i="48"/>
  <c r="T62" i="48"/>
  <c r="T61" i="48"/>
  <c r="T60" i="48"/>
  <c r="T59" i="48"/>
  <c r="T58" i="48"/>
  <c r="T57" i="48"/>
  <c r="T56" i="48"/>
  <c r="T55" i="48"/>
  <c r="T54" i="48"/>
  <c r="T53" i="48"/>
  <c r="T52" i="48"/>
  <c r="T51" i="48"/>
  <c r="T50" i="48"/>
  <c r="T49" i="48"/>
  <c r="T48" i="48"/>
  <c r="T47" i="48"/>
  <c r="T46" i="48"/>
  <c r="T45" i="48"/>
  <c r="T44" i="48"/>
  <c r="T43" i="48"/>
  <c r="T42" i="48"/>
  <c r="T41" i="48"/>
  <c r="T40" i="48"/>
  <c r="T39" i="48"/>
  <c r="T38" i="48"/>
  <c r="T37" i="48"/>
  <c r="T36" i="48"/>
  <c r="T35" i="48"/>
  <c r="T34" i="48"/>
  <c r="T33" i="48"/>
  <c r="T32" i="48"/>
  <c r="T31" i="48"/>
  <c r="T30" i="48"/>
  <c r="T29" i="48"/>
  <c r="T28" i="48"/>
  <c r="T27" i="48"/>
  <c r="T26" i="48"/>
  <c r="T25" i="48"/>
  <c r="T24" i="48"/>
  <c r="T23" i="48"/>
  <c r="T22" i="48"/>
  <c r="T21" i="48"/>
  <c r="T20" i="48"/>
  <c r="T19" i="48"/>
  <c r="T18" i="48"/>
  <c r="T17" i="48"/>
  <c r="U17" i="48"/>
  <c r="V17" i="48"/>
  <c r="W17" i="48"/>
  <c r="X17" i="48"/>
  <c r="Y17" i="48"/>
  <c r="Z17" i="48"/>
  <c r="AA17" i="48"/>
  <c r="AB17" i="48"/>
  <c r="AC17" i="48"/>
  <c r="AD17" i="48"/>
  <c r="AE17" i="48"/>
  <c r="AF17" i="48"/>
  <c r="AG17" i="48"/>
  <c r="D18" i="48"/>
  <c r="O18" i="48"/>
  <c r="P18" i="48"/>
  <c r="Q18" i="48"/>
  <c r="U18" i="48"/>
  <c r="V18" i="48"/>
  <c r="W18" i="48"/>
  <c r="X18" i="48"/>
  <c r="Y18" i="48"/>
  <c r="Z18" i="48"/>
  <c r="AA18" i="48"/>
  <c r="AB18" i="48"/>
  <c r="AC18" i="48"/>
  <c r="AD18" i="48"/>
  <c r="AE18" i="48"/>
  <c r="AF18" i="48"/>
  <c r="AG18" i="48"/>
  <c r="D19" i="48"/>
  <c r="O19" i="48"/>
  <c r="P19" i="48"/>
  <c r="Q19" i="48"/>
  <c r="U19" i="48"/>
  <c r="V19" i="48"/>
  <c r="W19" i="48"/>
  <c r="X19" i="48"/>
  <c r="Y19" i="48"/>
  <c r="Z19" i="48"/>
  <c r="AA19" i="48"/>
  <c r="AB19" i="48"/>
  <c r="AC19" i="48"/>
  <c r="AD19" i="48"/>
  <c r="AE19" i="48"/>
  <c r="AF19" i="48"/>
  <c r="AG19" i="48"/>
  <c r="D20" i="48"/>
  <c r="O20" i="48"/>
  <c r="P20" i="48"/>
  <c r="Q20" i="48"/>
  <c r="U20" i="48"/>
  <c r="V20" i="48"/>
  <c r="W20" i="48"/>
  <c r="X20" i="48"/>
  <c r="Y20" i="48"/>
  <c r="Z20" i="48"/>
  <c r="AA20" i="48"/>
  <c r="AB20" i="48"/>
  <c r="AC20" i="48"/>
  <c r="AD20" i="48"/>
  <c r="AE20" i="48"/>
  <c r="AF20" i="48"/>
  <c r="AG20" i="48"/>
  <c r="D21" i="48"/>
  <c r="O21" i="48"/>
  <c r="P21" i="48"/>
  <c r="Q21" i="48"/>
  <c r="U21" i="48"/>
  <c r="V21" i="48"/>
  <c r="W21" i="48"/>
  <c r="X21" i="48"/>
  <c r="Y21" i="48"/>
  <c r="Z21" i="48"/>
  <c r="AA21" i="48"/>
  <c r="AB21" i="48"/>
  <c r="AC21" i="48"/>
  <c r="AD21" i="48"/>
  <c r="AE21" i="48"/>
  <c r="AF21" i="48"/>
  <c r="AG21" i="48"/>
  <c r="D22" i="48"/>
  <c r="O22" i="48"/>
  <c r="P22" i="48"/>
  <c r="Q22" i="48"/>
  <c r="U22" i="48"/>
  <c r="V22" i="48"/>
  <c r="W22" i="48"/>
  <c r="X22" i="48"/>
  <c r="Y22" i="48"/>
  <c r="Z22" i="48"/>
  <c r="AA22" i="48"/>
  <c r="AB22" i="48"/>
  <c r="AC22" i="48"/>
  <c r="AD22" i="48"/>
  <c r="AE22" i="48"/>
  <c r="AF22" i="48"/>
  <c r="AG22" i="48"/>
  <c r="D23" i="48"/>
  <c r="O23" i="48"/>
  <c r="P23" i="48"/>
  <c r="Q23" i="48"/>
  <c r="U23" i="48"/>
  <c r="V23" i="48"/>
  <c r="W23" i="48"/>
  <c r="X23" i="48"/>
  <c r="Y23" i="48"/>
  <c r="Z23" i="48"/>
  <c r="AA23" i="48"/>
  <c r="AB23" i="48"/>
  <c r="AC23" i="48"/>
  <c r="AD23" i="48"/>
  <c r="AE23" i="48"/>
  <c r="AF23" i="48"/>
  <c r="AG23" i="48"/>
  <c r="D24" i="48"/>
  <c r="O24" i="48"/>
  <c r="P24" i="48"/>
  <c r="Q24" i="48"/>
  <c r="U24" i="48"/>
  <c r="V24" i="48"/>
  <c r="W24" i="48"/>
  <c r="X24" i="48"/>
  <c r="Y24" i="48"/>
  <c r="Z24" i="48"/>
  <c r="AA24" i="48"/>
  <c r="AB24" i="48"/>
  <c r="AC24" i="48"/>
  <c r="AD24" i="48"/>
  <c r="AE24" i="48"/>
  <c r="AF24" i="48"/>
  <c r="AG24" i="48"/>
  <c r="D25" i="48"/>
  <c r="O25" i="48"/>
  <c r="P25" i="48"/>
  <c r="Q25" i="48"/>
  <c r="U25" i="48"/>
  <c r="V25" i="48"/>
  <c r="W25" i="48"/>
  <c r="X25" i="48"/>
  <c r="Y25" i="48"/>
  <c r="Z25" i="48"/>
  <c r="AA25" i="48"/>
  <c r="AB25" i="48"/>
  <c r="AC25" i="48"/>
  <c r="AD25" i="48"/>
  <c r="AE25" i="48"/>
  <c r="AF25" i="48"/>
  <c r="AG25" i="48"/>
  <c r="D26" i="48"/>
  <c r="O26" i="48"/>
  <c r="P26" i="48"/>
  <c r="Q26" i="48"/>
  <c r="U26" i="48"/>
  <c r="V26" i="48"/>
  <c r="W26" i="48"/>
  <c r="X26" i="48"/>
  <c r="Y26" i="48"/>
  <c r="Z26" i="48"/>
  <c r="AA26" i="48"/>
  <c r="AB26" i="48"/>
  <c r="AC26" i="48"/>
  <c r="AD26" i="48"/>
  <c r="AE26" i="48"/>
  <c r="AF26" i="48"/>
  <c r="AG26" i="48"/>
  <c r="D27" i="48"/>
  <c r="O27" i="48"/>
  <c r="P27" i="48"/>
  <c r="Q27" i="48"/>
  <c r="U27" i="48"/>
  <c r="V27" i="48"/>
  <c r="W27" i="48"/>
  <c r="X27" i="48"/>
  <c r="Y27" i="48"/>
  <c r="Z27" i="48"/>
  <c r="AA27" i="48"/>
  <c r="AB27" i="48"/>
  <c r="AC27" i="48"/>
  <c r="AD27" i="48"/>
  <c r="AE27" i="48"/>
  <c r="AF27" i="48"/>
  <c r="AG27" i="48"/>
  <c r="D28" i="48"/>
  <c r="O28" i="48"/>
  <c r="P28" i="48"/>
  <c r="Q28" i="48"/>
  <c r="U28" i="48"/>
  <c r="V28" i="48"/>
  <c r="W28" i="48"/>
  <c r="X28" i="48"/>
  <c r="Y28" i="48"/>
  <c r="Z28" i="48"/>
  <c r="AA28" i="48"/>
  <c r="AB28" i="48"/>
  <c r="AC28" i="48"/>
  <c r="AD28" i="48"/>
  <c r="AE28" i="48"/>
  <c r="AF28" i="48"/>
  <c r="AG28" i="48"/>
  <c r="D29" i="48"/>
  <c r="O29" i="48"/>
  <c r="P29" i="48"/>
  <c r="Q29" i="48"/>
  <c r="U29" i="48"/>
  <c r="V29" i="48"/>
  <c r="W29" i="48"/>
  <c r="X29" i="48"/>
  <c r="Y29" i="48"/>
  <c r="Z29" i="48"/>
  <c r="AA29" i="48"/>
  <c r="AB29" i="48"/>
  <c r="AC29" i="48"/>
  <c r="AD29" i="48"/>
  <c r="AE29" i="48"/>
  <c r="AF29" i="48"/>
  <c r="AG29" i="48"/>
  <c r="D30" i="48"/>
  <c r="O30" i="48"/>
  <c r="P30" i="48"/>
  <c r="Q30" i="48"/>
  <c r="U30" i="48"/>
  <c r="V30" i="48"/>
  <c r="W30" i="48"/>
  <c r="X30" i="48"/>
  <c r="Y30" i="48"/>
  <c r="Z30" i="48"/>
  <c r="AA30" i="48"/>
  <c r="AB30" i="48"/>
  <c r="AC30" i="48"/>
  <c r="AD30" i="48"/>
  <c r="AE30" i="48"/>
  <c r="AF30" i="48"/>
  <c r="AG30" i="48"/>
  <c r="D31" i="48"/>
  <c r="O31" i="48"/>
  <c r="P31" i="48"/>
  <c r="Q31" i="48"/>
  <c r="U31" i="48"/>
  <c r="V31" i="48"/>
  <c r="W31" i="48"/>
  <c r="X31" i="48"/>
  <c r="Y31" i="48"/>
  <c r="Z31" i="48"/>
  <c r="AA31" i="48"/>
  <c r="AB31" i="48"/>
  <c r="AC31" i="48"/>
  <c r="AD31" i="48"/>
  <c r="AE31" i="48"/>
  <c r="AF31" i="48"/>
  <c r="AG31" i="48"/>
  <c r="D32" i="48"/>
  <c r="O32" i="48"/>
  <c r="P32" i="48"/>
  <c r="Q32" i="48"/>
  <c r="U32" i="48"/>
  <c r="V32" i="48"/>
  <c r="W32" i="48"/>
  <c r="X32" i="48"/>
  <c r="Y32" i="48"/>
  <c r="Z32" i="48"/>
  <c r="AA32" i="48"/>
  <c r="AB32" i="48"/>
  <c r="AC32" i="48"/>
  <c r="AD32" i="48"/>
  <c r="AE32" i="48"/>
  <c r="AF32" i="48"/>
  <c r="AG32" i="48"/>
  <c r="D33" i="48"/>
  <c r="O33" i="48"/>
  <c r="P33" i="48"/>
  <c r="Q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D34" i="48"/>
  <c r="O34" i="48"/>
  <c r="P34" i="48"/>
  <c r="Q34" i="48"/>
  <c r="U34" i="48"/>
  <c r="V34" i="48"/>
  <c r="W34" i="48"/>
  <c r="X34" i="48"/>
  <c r="Y34" i="48"/>
  <c r="Z34" i="48"/>
  <c r="AA34" i="48"/>
  <c r="AB34" i="48"/>
  <c r="AC34" i="48"/>
  <c r="AD34" i="48"/>
  <c r="AE34" i="48"/>
  <c r="AF34" i="48"/>
  <c r="AG34" i="48"/>
  <c r="D35" i="48"/>
  <c r="O35" i="48"/>
  <c r="P35" i="48"/>
  <c r="Q35" i="48"/>
  <c r="U35" i="48"/>
  <c r="V35" i="48"/>
  <c r="W35" i="48"/>
  <c r="X35" i="48"/>
  <c r="Y35" i="48"/>
  <c r="Z35" i="48"/>
  <c r="AA35" i="48"/>
  <c r="AB35" i="48"/>
  <c r="AC35" i="48"/>
  <c r="AD35" i="48"/>
  <c r="AE35" i="48"/>
  <c r="AF35" i="48"/>
  <c r="AG35" i="48"/>
  <c r="D36" i="48"/>
  <c r="O36" i="48"/>
  <c r="P36" i="48"/>
  <c r="Q36" i="48"/>
  <c r="U36" i="48"/>
  <c r="V36" i="48"/>
  <c r="W36" i="48"/>
  <c r="X36" i="48"/>
  <c r="Y36" i="48"/>
  <c r="Z36" i="48"/>
  <c r="AA36" i="48"/>
  <c r="AB36" i="48"/>
  <c r="AC36" i="48"/>
  <c r="AD36" i="48"/>
  <c r="AE36" i="48"/>
  <c r="AF36" i="48"/>
  <c r="AG36" i="48"/>
  <c r="D37" i="48"/>
  <c r="O37" i="48"/>
  <c r="P37" i="48"/>
  <c r="Q37" i="48"/>
  <c r="U37" i="48"/>
  <c r="V37" i="48"/>
  <c r="W37" i="48"/>
  <c r="X37" i="48"/>
  <c r="Y37" i="48"/>
  <c r="Z37" i="48"/>
  <c r="AA37" i="48"/>
  <c r="AB37" i="48"/>
  <c r="AC37" i="48"/>
  <c r="AD37" i="48"/>
  <c r="AE37" i="48"/>
  <c r="AF37" i="48"/>
  <c r="AG37" i="48"/>
  <c r="D38" i="48"/>
  <c r="O38" i="48"/>
  <c r="P38" i="48"/>
  <c r="Q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D39" i="48"/>
  <c r="O39" i="48"/>
  <c r="P39" i="48"/>
  <c r="Q39" i="48"/>
  <c r="U39" i="48"/>
  <c r="V39" i="48"/>
  <c r="W39" i="48"/>
  <c r="X39" i="48"/>
  <c r="Y39" i="48"/>
  <c r="Z39" i="48"/>
  <c r="AA39" i="48"/>
  <c r="AB39" i="48"/>
  <c r="AC39" i="48"/>
  <c r="AD39" i="48"/>
  <c r="AE39" i="48"/>
  <c r="AF39" i="48"/>
  <c r="AG39" i="48"/>
  <c r="D40" i="48"/>
  <c r="O40" i="48"/>
  <c r="P40" i="48"/>
  <c r="Q40" i="48"/>
  <c r="U40" i="48"/>
  <c r="V40" i="48"/>
  <c r="W40" i="48"/>
  <c r="X40" i="48"/>
  <c r="Y40" i="48"/>
  <c r="Z40" i="48"/>
  <c r="AA40" i="48"/>
  <c r="AB40" i="48"/>
  <c r="AC40" i="48"/>
  <c r="AD40" i="48"/>
  <c r="AE40" i="48"/>
  <c r="AF40" i="48"/>
  <c r="AG40" i="48"/>
  <c r="D41" i="48"/>
  <c r="O41" i="48"/>
  <c r="P41" i="48"/>
  <c r="Q41" i="48"/>
  <c r="U41" i="48"/>
  <c r="V41" i="48"/>
  <c r="W41" i="48"/>
  <c r="X41" i="48"/>
  <c r="Y41" i="48"/>
  <c r="Z41" i="48"/>
  <c r="AA41" i="48"/>
  <c r="AB41" i="48"/>
  <c r="AC41" i="48"/>
  <c r="AD41" i="48"/>
  <c r="AE41" i="48"/>
  <c r="AF41" i="48"/>
  <c r="AG41" i="48"/>
  <c r="D42" i="48"/>
  <c r="O42" i="48"/>
  <c r="P42" i="48"/>
  <c r="Q42" i="48"/>
  <c r="U42" i="48"/>
  <c r="V42" i="48"/>
  <c r="W42" i="48"/>
  <c r="X42" i="48"/>
  <c r="Y42" i="48"/>
  <c r="Z42" i="48"/>
  <c r="AA42" i="48"/>
  <c r="AB42" i="48"/>
  <c r="AC42" i="48"/>
  <c r="AD42" i="48"/>
  <c r="AE42" i="48"/>
  <c r="AF42" i="48"/>
  <c r="AG42" i="48"/>
  <c r="D43" i="48"/>
  <c r="O43" i="48"/>
  <c r="P43" i="48"/>
  <c r="Q43" i="48"/>
  <c r="U43" i="48"/>
  <c r="V43" i="48"/>
  <c r="W43" i="48"/>
  <c r="X43" i="48"/>
  <c r="Y43" i="48"/>
  <c r="Z43" i="48"/>
  <c r="AA43" i="48"/>
  <c r="AB43" i="48"/>
  <c r="AC43" i="48"/>
  <c r="AD43" i="48"/>
  <c r="AE43" i="48"/>
  <c r="AF43" i="48"/>
  <c r="AG43" i="48"/>
  <c r="D44" i="48"/>
  <c r="O44" i="48"/>
  <c r="P44" i="48"/>
  <c r="Q44" i="48"/>
  <c r="U44" i="48"/>
  <c r="V44" i="48"/>
  <c r="W44" i="48"/>
  <c r="X44" i="48"/>
  <c r="Y44" i="48"/>
  <c r="Z44" i="48"/>
  <c r="AA44" i="48"/>
  <c r="AB44" i="48"/>
  <c r="AC44" i="48"/>
  <c r="AD44" i="48"/>
  <c r="AE44" i="48"/>
  <c r="AF44" i="48"/>
  <c r="AG44" i="48"/>
  <c r="D45" i="48"/>
  <c r="O45" i="48"/>
  <c r="P45" i="48"/>
  <c r="Q45" i="48"/>
  <c r="U45" i="48"/>
  <c r="V45" i="48"/>
  <c r="W45" i="48"/>
  <c r="X45" i="48"/>
  <c r="Y45" i="48"/>
  <c r="Z45" i="48"/>
  <c r="AA45" i="48"/>
  <c r="AB45" i="48"/>
  <c r="AC45" i="48"/>
  <c r="AD45" i="48"/>
  <c r="AE45" i="48"/>
  <c r="AF45" i="48"/>
  <c r="AG45" i="48"/>
  <c r="D46" i="48"/>
  <c r="O46" i="48"/>
  <c r="P46" i="48"/>
  <c r="Q46" i="48"/>
  <c r="U46" i="48"/>
  <c r="V46" i="48"/>
  <c r="W46" i="48"/>
  <c r="X46" i="48"/>
  <c r="Y46" i="48"/>
  <c r="Z46" i="48"/>
  <c r="AA46" i="48"/>
  <c r="AB46" i="48"/>
  <c r="AC46" i="48"/>
  <c r="AD46" i="48"/>
  <c r="AE46" i="48"/>
  <c r="AF46" i="48"/>
  <c r="AG46" i="48"/>
  <c r="D47" i="48"/>
  <c r="O47" i="48"/>
  <c r="P47" i="48"/>
  <c r="Q47" i="48"/>
  <c r="U47" i="48"/>
  <c r="V47" i="48"/>
  <c r="W47" i="48"/>
  <c r="X47" i="48"/>
  <c r="Y47" i="48"/>
  <c r="Z47" i="48"/>
  <c r="AA47" i="48"/>
  <c r="AB47" i="48"/>
  <c r="AC47" i="48"/>
  <c r="AD47" i="48"/>
  <c r="AE47" i="48"/>
  <c r="AF47" i="48"/>
  <c r="AG47" i="48"/>
  <c r="D48" i="48"/>
  <c r="O48" i="48"/>
  <c r="P48" i="48"/>
  <c r="Q48" i="48"/>
  <c r="U48" i="48"/>
  <c r="V48" i="48"/>
  <c r="W48" i="48"/>
  <c r="X48" i="48"/>
  <c r="Y48" i="48"/>
  <c r="Z48" i="48"/>
  <c r="AA48" i="48"/>
  <c r="AB48" i="48"/>
  <c r="AC48" i="48"/>
  <c r="AD48" i="48"/>
  <c r="AE48" i="48"/>
  <c r="AF48" i="48"/>
  <c r="AG48" i="48"/>
  <c r="D49" i="48"/>
  <c r="O49" i="48"/>
  <c r="P49" i="48"/>
  <c r="Q49" i="48"/>
  <c r="U49" i="48"/>
  <c r="V49" i="48"/>
  <c r="W49" i="48"/>
  <c r="X49" i="48"/>
  <c r="Y49" i="48"/>
  <c r="Z49" i="48"/>
  <c r="AA49" i="48"/>
  <c r="AB49" i="48"/>
  <c r="AC49" i="48"/>
  <c r="AD49" i="48"/>
  <c r="AE49" i="48"/>
  <c r="AF49" i="48"/>
  <c r="AG49" i="48"/>
  <c r="D50" i="48"/>
  <c r="O50" i="48"/>
  <c r="P50" i="48"/>
  <c r="Q50" i="48"/>
  <c r="U50" i="48"/>
  <c r="V50" i="48"/>
  <c r="W50" i="48"/>
  <c r="X50" i="48"/>
  <c r="Y50" i="48"/>
  <c r="Z50" i="48"/>
  <c r="AA50" i="48"/>
  <c r="AB50" i="48"/>
  <c r="AC50" i="48"/>
  <c r="AD50" i="48"/>
  <c r="AE50" i="48"/>
  <c r="AF50" i="48"/>
  <c r="AG50" i="48"/>
  <c r="D51" i="48"/>
  <c r="O51" i="48"/>
  <c r="P51" i="48"/>
  <c r="Q51" i="48"/>
  <c r="U51" i="48"/>
  <c r="V51" i="48"/>
  <c r="W51" i="48"/>
  <c r="X51" i="48"/>
  <c r="Y51" i="48"/>
  <c r="Z51" i="48"/>
  <c r="AA51" i="48"/>
  <c r="AB51" i="48"/>
  <c r="AC51" i="48"/>
  <c r="AD51" i="48"/>
  <c r="AE51" i="48"/>
  <c r="AF51" i="48"/>
  <c r="AG51" i="48"/>
  <c r="D52" i="48"/>
  <c r="O52" i="48"/>
  <c r="P52" i="48"/>
  <c r="Q52" i="48"/>
  <c r="U52" i="48"/>
  <c r="V52" i="48"/>
  <c r="W52" i="48"/>
  <c r="X52" i="48"/>
  <c r="Y52" i="48"/>
  <c r="Z52" i="48"/>
  <c r="AA52" i="48"/>
  <c r="AB52" i="48"/>
  <c r="AC52" i="48"/>
  <c r="AD52" i="48"/>
  <c r="AE52" i="48"/>
  <c r="AF52" i="48"/>
  <c r="AG52" i="48"/>
  <c r="D53" i="48"/>
  <c r="O53" i="48"/>
  <c r="P53" i="48"/>
  <c r="Q53" i="48"/>
  <c r="U53" i="48"/>
  <c r="V53" i="48"/>
  <c r="W53" i="48"/>
  <c r="X53" i="48"/>
  <c r="Y53" i="48"/>
  <c r="Z53" i="48"/>
  <c r="AA53" i="48"/>
  <c r="AB53" i="48"/>
  <c r="AC53" i="48"/>
  <c r="AD53" i="48"/>
  <c r="AE53" i="48"/>
  <c r="AF53" i="48"/>
  <c r="AG53" i="48"/>
  <c r="D54" i="48"/>
  <c r="O54" i="48"/>
  <c r="P54" i="48"/>
  <c r="Q54" i="48"/>
  <c r="U54" i="48"/>
  <c r="V54" i="48"/>
  <c r="W54" i="48"/>
  <c r="X54" i="48"/>
  <c r="Y54" i="48"/>
  <c r="Z54" i="48"/>
  <c r="AA54" i="48"/>
  <c r="AB54" i="48"/>
  <c r="AC54" i="48"/>
  <c r="AD54" i="48"/>
  <c r="AE54" i="48"/>
  <c r="AF54" i="48"/>
  <c r="AG54" i="48"/>
  <c r="D55" i="48"/>
  <c r="O55" i="48"/>
  <c r="P55" i="48"/>
  <c r="Q55" i="48"/>
  <c r="U55" i="48"/>
  <c r="V55" i="48"/>
  <c r="W55" i="48"/>
  <c r="X55" i="48"/>
  <c r="Y55" i="48"/>
  <c r="Z55" i="48"/>
  <c r="AA55" i="48"/>
  <c r="AB55" i="48"/>
  <c r="AC55" i="48"/>
  <c r="AD55" i="48"/>
  <c r="AE55" i="48"/>
  <c r="AF55" i="48"/>
  <c r="AG55" i="48"/>
  <c r="D56" i="48"/>
  <c r="O56" i="48"/>
  <c r="P56" i="48"/>
  <c r="Q56" i="48"/>
  <c r="U56" i="48"/>
  <c r="V56" i="48"/>
  <c r="W56" i="48"/>
  <c r="X56" i="48"/>
  <c r="Y56" i="48"/>
  <c r="Z56" i="48"/>
  <c r="AA56" i="48"/>
  <c r="AB56" i="48"/>
  <c r="AC56" i="48"/>
  <c r="AD56" i="48"/>
  <c r="AE56" i="48"/>
  <c r="AF56" i="48"/>
  <c r="AG56" i="48"/>
  <c r="D57" i="48"/>
  <c r="O57" i="48"/>
  <c r="P57" i="48"/>
  <c r="Q57" i="48"/>
  <c r="U57" i="48"/>
  <c r="V57" i="48"/>
  <c r="W57" i="48"/>
  <c r="X57" i="48"/>
  <c r="Y57" i="48"/>
  <c r="Z57" i="48"/>
  <c r="AA57" i="48"/>
  <c r="AB57" i="48"/>
  <c r="AC57" i="48"/>
  <c r="AD57" i="48"/>
  <c r="AE57" i="48"/>
  <c r="AF57" i="48"/>
  <c r="AG57" i="48"/>
  <c r="D58" i="48"/>
  <c r="O58" i="48"/>
  <c r="P58" i="48"/>
  <c r="Q58" i="48"/>
  <c r="U58" i="48"/>
  <c r="V58" i="48"/>
  <c r="W58" i="48"/>
  <c r="X58" i="48"/>
  <c r="Y58" i="48"/>
  <c r="Z58" i="48"/>
  <c r="AA58" i="48"/>
  <c r="AB58" i="48"/>
  <c r="AC58" i="48"/>
  <c r="AD58" i="48"/>
  <c r="AE58" i="48"/>
  <c r="AF58" i="48"/>
  <c r="AG58" i="48"/>
  <c r="D59" i="48"/>
  <c r="O59" i="48"/>
  <c r="P59" i="48"/>
  <c r="Q59" i="48"/>
  <c r="U59" i="48"/>
  <c r="V59" i="48"/>
  <c r="W59" i="48"/>
  <c r="X59" i="48"/>
  <c r="Y59" i="48"/>
  <c r="Z59" i="48"/>
  <c r="AA59" i="48"/>
  <c r="AB59" i="48"/>
  <c r="AC59" i="48"/>
  <c r="AD59" i="48"/>
  <c r="AE59" i="48"/>
  <c r="AF59" i="48"/>
  <c r="AG59" i="48"/>
  <c r="D60" i="48"/>
  <c r="O60" i="48"/>
  <c r="P60" i="48"/>
  <c r="Q60" i="48"/>
  <c r="U60" i="48"/>
  <c r="V60" i="48"/>
  <c r="W60" i="48"/>
  <c r="X60" i="48"/>
  <c r="Y60" i="48"/>
  <c r="Z60" i="48"/>
  <c r="AA60" i="48"/>
  <c r="AB60" i="48"/>
  <c r="AC60" i="48"/>
  <c r="AD60" i="48"/>
  <c r="AE60" i="48"/>
  <c r="AF60" i="48"/>
  <c r="AG60" i="48"/>
  <c r="D61" i="48"/>
  <c r="O61" i="48"/>
  <c r="P61" i="48"/>
  <c r="Q61" i="48"/>
  <c r="U61" i="48"/>
  <c r="V61" i="48"/>
  <c r="W61" i="48"/>
  <c r="X61" i="48"/>
  <c r="Y61" i="48"/>
  <c r="Z61" i="48"/>
  <c r="AA61" i="48"/>
  <c r="AB61" i="48"/>
  <c r="AC61" i="48"/>
  <c r="AD61" i="48"/>
  <c r="AE61" i="48"/>
  <c r="AF61" i="48"/>
  <c r="AG61" i="48"/>
  <c r="D62" i="48"/>
  <c r="O62" i="48"/>
  <c r="P62" i="48"/>
  <c r="Q62" i="48"/>
  <c r="U62" i="48"/>
  <c r="V62" i="48"/>
  <c r="W62" i="48"/>
  <c r="X62" i="48"/>
  <c r="Y62" i="48"/>
  <c r="Z62" i="48"/>
  <c r="AA62" i="48"/>
  <c r="AB62" i="48"/>
  <c r="AC62" i="48"/>
  <c r="AD62" i="48"/>
  <c r="AE62" i="48"/>
  <c r="AF62" i="48"/>
  <c r="AG62" i="48"/>
  <c r="D63" i="48"/>
  <c r="O63" i="48"/>
  <c r="P63" i="48"/>
  <c r="Q63" i="48"/>
  <c r="U63" i="48"/>
  <c r="V63" i="48"/>
  <c r="W63" i="48"/>
  <c r="X63" i="48"/>
  <c r="Y63" i="48"/>
  <c r="Z63" i="48"/>
  <c r="AA63" i="48"/>
  <c r="AB63" i="48"/>
  <c r="AC63" i="48"/>
  <c r="AD63" i="48"/>
  <c r="AE63" i="48"/>
  <c r="AF63" i="48"/>
  <c r="AG63" i="48"/>
  <c r="D64" i="48"/>
  <c r="O64" i="48"/>
  <c r="P64" i="48"/>
  <c r="Q64" i="48"/>
  <c r="U64" i="48"/>
  <c r="V64" i="48"/>
  <c r="W64" i="48"/>
  <c r="X64" i="48"/>
  <c r="Y64" i="48"/>
  <c r="Z64" i="48"/>
  <c r="AA64" i="48"/>
  <c r="AB64" i="48"/>
  <c r="AC64" i="48"/>
  <c r="AD64" i="48"/>
  <c r="AE64" i="48"/>
  <c r="AF64" i="48"/>
  <c r="AG64" i="48"/>
  <c r="D65" i="48"/>
  <c r="O65" i="48"/>
  <c r="P65" i="48"/>
  <c r="Q65" i="48"/>
  <c r="U65" i="48"/>
  <c r="V65" i="48"/>
  <c r="W65" i="48"/>
  <c r="X65" i="48"/>
  <c r="Y65" i="48"/>
  <c r="Z65" i="48"/>
  <c r="AA65" i="48"/>
  <c r="AB65" i="48"/>
  <c r="AC65" i="48"/>
  <c r="AD65" i="48"/>
  <c r="AE65" i="48"/>
  <c r="AF65" i="48"/>
  <c r="AG65" i="48"/>
  <c r="D66" i="48"/>
  <c r="O66" i="48"/>
  <c r="P66" i="48"/>
  <c r="Q66" i="48"/>
  <c r="U66" i="48"/>
  <c r="V66" i="48"/>
  <c r="W66" i="48"/>
  <c r="X66" i="48"/>
  <c r="Y66" i="48"/>
  <c r="Z66" i="48"/>
  <c r="AA66" i="48"/>
  <c r="AB66" i="48"/>
  <c r="AC66" i="48"/>
  <c r="AD66" i="48"/>
  <c r="AE66" i="48"/>
  <c r="AF66" i="48"/>
  <c r="AG66" i="48"/>
  <c r="D67" i="48"/>
  <c r="O67" i="48"/>
  <c r="P67" i="48"/>
  <c r="Q67" i="48"/>
  <c r="U67" i="48"/>
  <c r="V67" i="48"/>
  <c r="W67" i="48"/>
  <c r="X67" i="48"/>
  <c r="Y67" i="48"/>
  <c r="Z67" i="48"/>
  <c r="AA67" i="48"/>
  <c r="AB67" i="48"/>
  <c r="AC67" i="48"/>
  <c r="AD67" i="48"/>
  <c r="AE67" i="48"/>
  <c r="AF67" i="48"/>
  <c r="AG67" i="48"/>
  <c r="D68" i="48"/>
  <c r="O68" i="48"/>
  <c r="P68" i="48"/>
  <c r="Q68" i="48"/>
  <c r="U68" i="48"/>
  <c r="V68" i="48"/>
  <c r="W68" i="48"/>
  <c r="X68" i="48"/>
  <c r="Y68" i="48"/>
  <c r="Z68" i="48"/>
  <c r="AA68" i="48"/>
  <c r="AB68" i="48"/>
  <c r="AC68" i="48"/>
  <c r="AD68" i="48"/>
  <c r="AE68" i="48"/>
  <c r="AF68" i="48"/>
  <c r="AG68" i="48"/>
  <c r="D69" i="48"/>
  <c r="O69" i="48"/>
  <c r="P69" i="48"/>
  <c r="Q69" i="48"/>
  <c r="U69" i="48"/>
  <c r="V69" i="48"/>
  <c r="W69" i="48"/>
  <c r="X69" i="48"/>
  <c r="Y69" i="48"/>
  <c r="Z69" i="48"/>
  <c r="AA69" i="48"/>
  <c r="AB69" i="48"/>
  <c r="AC69" i="48"/>
  <c r="AD69" i="48"/>
  <c r="AE69" i="48"/>
  <c r="AF69" i="48"/>
  <c r="AG69" i="48"/>
  <c r="D70" i="48"/>
  <c r="O70" i="48"/>
  <c r="P70" i="48"/>
  <c r="Q70" i="48"/>
  <c r="U70" i="48"/>
  <c r="V70" i="48"/>
  <c r="W70" i="48"/>
  <c r="X70" i="48"/>
  <c r="Y70" i="48"/>
  <c r="Z70" i="48"/>
  <c r="AA70" i="48"/>
  <c r="AB70" i="48"/>
  <c r="AC70" i="48"/>
  <c r="AD70" i="48"/>
  <c r="AE70" i="48"/>
  <c r="AF70" i="48"/>
  <c r="AG70" i="48"/>
  <c r="D71" i="48"/>
  <c r="O71" i="48"/>
  <c r="P71" i="48"/>
  <c r="Q71" i="48"/>
  <c r="U71" i="48"/>
  <c r="V71" i="48"/>
  <c r="W71" i="48"/>
  <c r="X71" i="48"/>
  <c r="Y71" i="48"/>
  <c r="Z71" i="48"/>
  <c r="AA71" i="48"/>
  <c r="AB71" i="48"/>
  <c r="AC71" i="48"/>
  <c r="AD71" i="48"/>
  <c r="AE71" i="48"/>
  <c r="AF71" i="48"/>
  <c r="AG71" i="48"/>
  <c r="D72" i="48"/>
  <c r="O72" i="48"/>
  <c r="P72" i="48"/>
  <c r="Q72" i="48"/>
  <c r="U72" i="48"/>
  <c r="V72" i="48"/>
  <c r="W72" i="48"/>
  <c r="X72" i="48"/>
  <c r="Y72" i="48"/>
  <c r="Z72" i="48"/>
  <c r="AA72" i="48"/>
  <c r="AB72" i="48"/>
  <c r="AC72" i="48"/>
  <c r="AD72" i="48"/>
  <c r="AE72" i="48"/>
  <c r="AF72" i="48"/>
  <c r="AG72" i="48"/>
  <c r="D73" i="48"/>
  <c r="O73" i="48"/>
  <c r="P73" i="48"/>
  <c r="Q73" i="48"/>
  <c r="U73" i="48"/>
  <c r="V73" i="48"/>
  <c r="W73" i="48"/>
  <c r="X73" i="48"/>
  <c r="Y73" i="48"/>
  <c r="Z73" i="48"/>
  <c r="AA73" i="48"/>
  <c r="AB73" i="48"/>
  <c r="AC73" i="48"/>
  <c r="AD73" i="48"/>
  <c r="AE73" i="48"/>
  <c r="AF73" i="48"/>
  <c r="AG73" i="48"/>
  <c r="D74" i="48"/>
  <c r="O74" i="48"/>
  <c r="P74" i="48"/>
  <c r="Q74" i="48"/>
  <c r="U74" i="48"/>
  <c r="V74" i="48"/>
  <c r="W74" i="48"/>
  <c r="X74" i="48"/>
  <c r="Y74" i="48"/>
  <c r="Z74" i="48"/>
  <c r="AA74" i="48"/>
  <c r="AB74" i="48"/>
  <c r="AC74" i="48"/>
  <c r="AD74" i="48"/>
  <c r="AE74" i="48"/>
  <c r="AF74" i="48"/>
  <c r="AG74" i="48"/>
  <c r="D75" i="48"/>
  <c r="O75" i="48"/>
  <c r="P75" i="48"/>
  <c r="Q75" i="48"/>
  <c r="U75" i="48"/>
  <c r="V75" i="48"/>
  <c r="W75" i="48"/>
  <c r="X75" i="48"/>
  <c r="Y75" i="48"/>
  <c r="Z75" i="48"/>
  <c r="AA75" i="48"/>
  <c r="AB75" i="48"/>
  <c r="AC75" i="48"/>
  <c r="AD75" i="48"/>
  <c r="AE75" i="48"/>
  <c r="AF75" i="48"/>
  <c r="AG75" i="48"/>
  <c r="D76" i="48"/>
  <c r="O76" i="48"/>
  <c r="P76" i="48"/>
  <c r="Q76" i="48"/>
  <c r="U76" i="48"/>
  <c r="V76" i="48"/>
  <c r="W76" i="48"/>
  <c r="X76" i="48"/>
  <c r="Y76" i="48"/>
  <c r="Z76" i="48"/>
  <c r="AA76" i="48"/>
  <c r="AB76" i="48"/>
  <c r="AC76" i="48"/>
  <c r="AD76" i="48"/>
  <c r="AE76" i="48"/>
  <c r="AF76" i="48"/>
  <c r="AG76" i="48"/>
  <c r="D77" i="48"/>
  <c r="O77" i="48"/>
  <c r="P77" i="48"/>
  <c r="Q77" i="48"/>
  <c r="U77" i="48"/>
  <c r="V77" i="48"/>
  <c r="W77" i="48"/>
  <c r="X77" i="48"/>
  <c r="Y77" i="48"/>
  <c r="Z77" i="48"/>
  <c r="AA77" i="48"/>
  <c r="AB77" i="48"/>
  <c r="AC77" i="48"/>
  <c r="AD77" i="48"/>
  <c r="AE77" i="48"/>
  <c r="AF77" i="48"/>
  <c r="AG77" i="48"/>
  <c r="D78" i="48"/>
  <c r="O78" i="48"/>
  <c r="P78" i="48"/>
  <c r="Q78" i="48"/>
  <c r="U78" i="48"/>
  <c r="V78" i="48"/>
  <c r="W78" i="48"/>
  <c r="X78" i="48"/>
  <c r="Y78" i="48"/>
  <c r="Z78" i="48"/>
  <c r="AA78" i="48"/>
  <c r="AB78" i="48"/>
  <c r="AC78" i="48"/>
  <c r="AD78" i="48"/>
  <c r="AE78" i="48"/>
  <c r="AF78" i="48"/>
  <c r="AG78" i="48"/>
  <c r="D79" i="48"/>
  <c r="O79" i="48"/>
  <c r="P79" i="48"/>
  <c r="Q79" i="48"/>
  <c r="U79" i="48"/>
  <c r="V79" i="48"/>
  <c r="W79" i="48"/>
  <c r="X79" i="48"/>
  <c r="Y79" i="48"/>
  <c r="Z79" i="48"/>
  <c r="AA79" i="48"/>
  <c r="AB79" i="48"/>
  <c r="AC79" i="48"/>
  <c r="AD79" i="48"/>
  <c r="AE79" i="48"/>
  <c r="AF79" i="48"/>
  <c r="AG79" i="48"/>
  <c r="D80" i="48"/>
  <c r="O80" i="48"/>
  <c r="P80" i="48"/>
  <c r="Q80" i="48"/>
  <c r="U80" i="48"/>
  <c r="V80" i="48"/>
  <c r="W80" i="48"/>
  <c r="X80" i="48"/>
  <c r="Y80" i="48"/>
  <c r="Z80" i="48"/>
  <c r="AA80" i="48"/>
  <c r="AB80" i="48"/>
  <c r="AC80" i="48"/>
  <c r="AD80" i="48"/>
  <c r="AE80" i="48"/>
  <c r="AF80" i="48"/>
  <c r="AG80" i="48"/>
  <c r="D81" i="48"/>
  <c r="O81" i="48"/>
  <c r="P81" i="48"/>
  <c r="Q81" i="48"/>
  <c r="U81" i="48"/>
  <c r="V81" i="48"/>
  <c r="W81" i="48"/>
  <c r="X81" i="48"/>
  <c r="Y81" i="48"/>
  <c r="Z81" i="48"/>
  <c r="AA81" i="48"/>
  <c r="AB81" i="48"/>
  <c r="AC81" i="48"/>
  <c r="AD81" i="48"/>
  <c r="AE81" i="48"/>
  <c r="AF81" i="48"/>
  <c r="AG81" i="48"/>
  <c r="D82" i="48"/>
  <c r="O82" i="48"/>
  <c r="P82" i="48"/>
  <c r="Q82" i="48"/>
  <c r="U82" i="48"/>
  <c r="V82" i="48"/>
  <c r="W82" i="48"/>
  <c r="X82" i="48"/>
  <c r="Y82" i="48"/>
  <c r="Z82" i="48"/>
  <c r="AA82" i="48"/>
  <c r="AB82" i="48"/>
  <c r="AC82" i="48"/>
  <c r="AD82" i="48"/>
  <c r="AE82" i="48"/>
  <c r="AF82" i="48"/>
  <c r="AG82" i="48"/>
  <c r="D83" i="48"/>
  <c r="O83" i="48"/>
  <c r="P83" i="48"/>
  <c r="Q83" i="48"/>
  <c r="U83" i="48"/>
  <c r="V83" i="48"/>
  <c r="W83" i="48"/>
  <c r="X83" i="48"/>
  <c r="Y83" i="48"/>
  <c r="Z83" i="48"/>
  <c r="AA83" i="48"/>
  <c r="AB83" i="48"/>
  <c r="AC83" i="48"/>
  <c r="AD83" i="48"/>
  <c r="AE83" i="48"/>
  <c r="AF83" i="48"/>
  <c r="AG83" i="48"/>
  <c r="D84" i="48"/>
  <c r="O84" i="48"/>
  <c r="P84" i="48"/>
  <c r="Q84" i="48"/>
  <c r="U84" i="48"/>
  <c r="V84" i="48"/>
  <c r="W84" i="48"/>
  <c r="X84" i="48"/>
  <c r="Y84" i="48"/>
  <c r="Z84" i="48"/>
  <c r="AA84" i="48"/>
  <c r="AB84" i="48"/>
  <c r="AC84" i="48"/>
  <c r="AD84" i="48"/>
  <c r="AE84" i="48"/>
  <c r="AF84" i="48"/>
  <c r="AG84" i="48"/>
  <c r="D85" i="48"/>
  <c r="O85" i="48"/>
  <c r="P85" i="48"/>
  <c r="Q85" i="48"/>
  <c r="U85" i="48"/>
  <c r="V85" i="48"/>
  <c r="W85" i="48"/>
  <c r="X85" i="48"/>
  <c r="Y85" i="48"/>
  <c r="Z85" i="48"/>
  <c r="AA85" i="48"/>
  <c r="AB85" i="48"/>
  <c r="AC85" i="48"/>
  <c r="AD85" i="48"/>
  <c r="AE85" i="48"/>
  <c r="AF85" i="48"/>
  <c r="AG85" i="48"/>
  <c r="D86" i="48"/>
  <c r="O86" i="48"/>
  <c r="P86" i="48"/>
  <c r="Q86" i="48"/>
  <c r="U86" i="48"/>
  <c r="V86" i="48"/>
  <c r="W86" i="48"/>
  <c r="X86" i="48"/>
  <c r="Y86" i="48"/>
  <c r="Z86" i="48"/>
  <c r="AA86" i="48"/>
  <c r="AB86" i="48"/>
  <c r="AC86" i="48"/>
  <c r="AD86" i="48"/>
  <c r="AE86" i="48"/>
  <c r="AF86" i="48"/>
  <c r="AG86" i="48"/>
  <c r="D87" i="48"/>
  <c r="O87" i="48"/>
  <c r="P87" i="48"/>
  <c r="Q87" i="48"/>
  <c r="U87" i="48"/>
  <c r="V87" i="48"/>
  <c r="W87" i="48"/>
  <c r="X87" i="48"/>
  <c r="Y87" i="48"/>
  <c r="Z87" i="48"/>
  <c r="AA87" i="48"/>
  <c r="AB87" i="48"/>
  <c r="AC87" i="48"/>
  <c r="AD87" i="48"/>
  <c r="AE87" i="48"/>
  <c r="AF87" i="48"/>
  <c r="AG87" i="48"/>
  <c r="D88" i="48"/>
  <c r="O88" i="48"/>
  <c r="P88" i="48"/>
  <c r="Q88" i="48"/>
  <c r="U88" i="48"/>
  <c r="V88" i="48"/>
  <c r="W88" i="48"/>
  <c r="X88" i="48"/>
  <c r="Y88" i="48"/>
  <c r="Z88" i="48"/>
  <c r="AA88" i="48"/>
  <c r="AB88" i="48"/>
  <c r="AC88" i="48"/>
  <c r="AD88" i="48"/>
  <c r="AE88" i="48"/>
  <c r="AF88" i="48"/>
  <c r="AG88" i="48"/>
  <c r="D89" i="48"/>
  <c r="O89" i="48"/>
  <c r="P89" i="48"/>
  <c r="Q89" i="48"/>
  <c r="U89" i="48"/>
  <c r="V89" i="48"/>
  <c r="W89" i="48"/>
  <c r="X89" i="48"/>
  <c r="Y89" i="48"/>
  <c r="Z89" i="48"/>
  <c r="AA89" i="48"/>
  <c r="AB89" i="48"/>
  <c r="AC89" i="48"/>
  <c r="AD89" i="48"/>
  <c r="AE89" i="48"/>
  <c r="AF89" i="48"/>
  <c r="AG89" i="48"/>
  <c r="D90" i="48"/>
  <c r="O90" i="48"/>
  <c r="P90" i="48"/>
  <c r="Q90" i="48"/>
  <c r="U90" i="48"/>
  <c r="V90" i="48"/>
  <c r="W90" i="48"/>
  <c r="X90" i="48"/>
  <c r="Y90" i="48"/>
  <c r="Z90" i="48"/>
  <c r="AA90" i="48"/>
  <c r="AB90" i="48"/>
  <c r="AC90" i="48"/>
  <c r="AD90" i="48"/>
  <c r="AE90" i="48"/>
  <c r="AF90" i="48"/>
  <c r="AG90" i="48"/>
  <c r="D91" i="48"/>
  <c r="O91" i="48"/>
  <c r="P91" i="48"/>
  <c r="Q91" i="48"/>
  <c r="U91" i="48"/>
  <c r="V91" i="48"/>
  <c r="W91" i="48"/>
  <c r="X91" i="48"/>
  <c r="Y91" i="48"/>
  <c r="Z91" i="48"/>
  <c r="AA91" i="48"/>
  <c r="AB91" i="48"/>
  <c r="AC91" i="48"/>
  <c r="AD91" i="48"/>
  <c r="AE91" i="48"/>
  <c r="AF91" i="48"/>
  <c r="AG91" i="48"/>
  <c r="D92" i="48"/>
  <c r="O92" i="48"/>
  <c r="P92" i="48"/>
  <c r="Q92" i="48"/>
  <c r="U92" i="48"/>
  <c r="V92" i="48"/>
  <c r="W92" i="48"/>
  <c r="X92" i="48"/>
  <c r="Y92" i="48"/>
  <c r="Z92" i="48"/>
  <c r="AA92" i="48"/>
  <c r="AB92" i="48"/>
  <c r="AC92" i="48"/>
  <c r="AD92" i="48"/>
  <c r="AE92" i="48"/>
  <c r="AF92" i="48"/>
  <c r="AG92" i="48"/>
  <c r="D93" i="48"/>
  <c r="O93" i="48"/>
  <c r="P93" i="48"/>
  <c r="Q93" i="48"/>
  <c r="U93" i="48"/>
  <c r="V93" i="48"/>
  <c r="W93" i="48"/>
  <c r="X93" i="48"/>
  <c r="Y93" i="48"/>
  <c r="Z93" i="48"/>
  <c r="AA93" i="48"/>
  <c r="AB93" i="48"/>
  <c r="AC93" i="48"/>
  <c r="AD93" i="48"/>
  <c r="AE93" i="48"/>
  <c r="AF93" i="48"/>
  <c r="AG93" i="48"/>
  <c r="D94" i="48"/>
  <c r="O94" i="48"/>
  <c r="P94" i="48"/>
  <c r="Q94" i="48"/>
  <c r="U94" i="48"/>
  <c r="V94" i="48"/>
  <c r="W94" i="48"/>
  <c r="X94" i="48"/>
  <c r="Y94" i="48"/>
  <c r="Z94" i="48"/>
  <c r="AA94" i="48"/>
  <c r="AB94" i="48"/>
  <c r="AC94" i="48"/>
  <c r="AD94" i="48"/>
  <c r="AE94" i="48"/>
  <c r="AF94" i="48"/>
  <c r="AG94" i="48"/>
  <c r="D95" i="48"/>
  <c r="O95" i="48"/>
  <c r="P95" i="48"/>
  <c r="Q95" i="48"/>
  <c r="U95" i="48"/>
  <c r="V95" i="48"/>
  <c r="W95" i="48"/>
  <c r="X95" i="48"/>
  <c r="Y95" i="48"/>
  <c r="Z95" i="48"/>
  <c r="AA95" i="48"/>
  <c r="AB95" i="48"/>
  <c r="AC95" i="48"/>
  <c r="AD95" i="48"/>
  <c r="AE95" i="48"/>
  <c r="AF95" i="48"/>
  <c r="AG95" i="48"/>
  <c r="D96" i="48"/>
  <c r="O96" i="48"/>
  <c r="P96" i="48"/>
  <c r="Q96" i="48"/>
  <c r="U96" i="48"/>
  <c r="V96" i="48"/>
  <c r="W96" i="48"/>
  <c r="X96" i="48"/>
  <c r="Y96" i="48"/>
  <c r="Z96" i="48"/>
  <c r="AA96" i="48"/>
  <c r="AB96" i="48"/>
  <c r="AC96" i="48"/>
  <c r="AD96" i="48"/>
  <c r="AE96" i="48"/>
  <c r="AF96" i="48"/>
  <c r="AG96" i="48"/>
  <c r="D97" i="48"/>
  <c r="O97" i="48"/>
  <c r="P97" i="48"/>
  <c r="Q97" i="48"/>
  <c r="U97" i="48"/>
  <c r="V97" i="48"/>
  <c r="W97" i="48"/>
  <c r="X97" i="48"/>
  <c r="Y97" i="48"/>
  <c r="Z97" i="48"/>
  <c r="AA97" i="48"/>
  <c r="AB97" i="48"/>
  <c r="AC97" i="48"/>
  <c r="AD97" i="48"/>
  <c r="AE97" i="48"/>
  <c r="AF97" i="48"/>
  <c r="AG97" i="48"/>
  <c r="D98" i="48"/>
  <c r="O98" i="48"/>
  <c r="P98" i="48"/>
  <c r="Q98" i="48"/>
  <c r="U98" i="48"/>
  <c r="V98" i="48"/>
  <c r="W98" i="48"/>
  <c r="X98" i="48"/>
  <c r="Y98" i="48"/>
  <c r="Z98" i="48"/>
  <c r="AA98" i="48"/>
  <c r="AB98" i="48"/>
  <c r="AC98" i="48"/>
  <c r="AD98" i="48"/>
  <c r="AE98" i="48"/>
  <c r="AF98" i="48"/>
  <c r="AG98" i="48"/>
  <c r="D99" i="48"/>
  <c r="O99" i="48"/>
  <c r="P99" i="48"/>
  <c r="Q99" i="48"/>
  <c r="U99" i="48"/>
  <c r="V99" i="48"/>
  <c r="W99" i="48"/>
  <c r="X99" i="48"/>
  <c r="Y99" i="48"/>
  <c r="Z99" i="48"/>
  <c r="AA99" i="48"/>
  <c r="AB99" i="48"/>
  <c r="AC99" i="48"/>
  <c r="AD99" i="48"/>
  <c r="AE99" i="48"/>
  <c r="AF99" i="48"/>
  <c r="AG99" i="48"/>
  <c r="D100" i="48"/>
  <c r="O100" i="48"/>
  <c r="P100" i="48"/>
  <c r="Q100" i="48"/>
  <c r="U100" i="48"/>
  <c r="V100" i="48"/>
  <c r="W100" i="48"/>
  <c r="X100" i="48"/>
  <c r="Y100" i="48"/>
  <c r="Z100" i="48"/>
  <c r="AA100" i="48"/>
  <c r="AB100" i="48"/>
  <c r="AC100" i="48"/>
  <c r="AD100" i="48"/>
  <c r="AE100" i="48"/>
  <c r="AF100" i="48"/>
  <c r="AG100" i="48"/>
  <c r="D101" i="48"/>
  <c r="O101" i="48"/>
  <c r="P101" i="48"/>
  <c r="Q101" i="48"/>
  <c r="U101" i="48"/>
  <c r="V101" i="48"/>
  <c r="W101" i="48"/>
  <c r="X101" i="48"/>
  <c r="Y101" i="48"/>
  <c r="Z101" i="48"/>
  <c r="AA101" i="48"/>
  <c r="AB101" i="48"/>
  <c r="AC101" i="48"/>
  <c r="AD101" i="48"/>
  <c r="AE101" i="48"/>
  <c r="AF101" i="48"/>
  <c r="AG101" i="48"/>
  <c r="D102" i="48"/>
  <c r="O102" i="48"/>
  <c r="P102" i="48"/>
  <c r="Q102" i="48"/>
  <c r="U102" i="48"/>
  <c r="V102" i="48"/>
  <c r="W102" i="48"/>
  <c r="X102" i="48"/>
  <c r="Y102" i="48"/>
  <c r="Z102" i="48"/>
  <c r="AA102" i="48"/>
  <c r="AB102" i="48"/>
  <c r="AC102" i="48"/>
  <c r="AD102" i="48"/>
  <c r="AE102" i="48"/>
  <c r="AF102" i="48"/>
  <c r="AG102" i="48"/>
  <c r="D103" i="48"/>
  <c r="O103" i="48"/>
  <c r="P103" i="48"/>
  <c r="Q103" i="48"/>
  <c r="U103" i="48"/>
  <c r="V103" i="48"/>
  <c r="W103" i="48"/>
  <c r="X103" i="48"/>
  <c r="Y103" i="48"/>
  <c r="Z103" i="48"/>
  <c r="AA103" i="48"/>
  <c r="AB103" i="48"/>
  <c r="AC103" i="48"/>
  <c r="AD103" i="48"/>
  <c r="AE103" i="48"/>
  <c r="AF103" i="48"/>
  <c r="AG103" i="48"/>
  <c r="D104" i="48"/>
  <c r="O104" i="48"/>
  <c r="P104" i="48"/>
  <c r="Q104" i="48"/>
  <c r="U104" i="48"/>
  <c r="V104" i="48"/>
  <c r="W104" i="48"/>
  <c r="X104" i="48"/>
  <c r="Y104" i="48"/>
  <c r="Z104" i="48"/>
  <c r="AA104" i="48"/>
  <c r="AB104" i="48"/>
  <c r="AC104" i="48"/>
  <c r="AD104" i="48"/>
  <c r="AE104" i="48"/>
  <c r="AF104" i="48"/>
  <c r="AG104" i="48"/>
  <c r="D105" i="48"/>
  <c r="O105" i="48"/>
  <c r="P105" i="48"/>
  <c r="Q105" i="48"/>
  <c r="U105" i="48"/>
  <c r="V105" i="48"/>
  <c r="W105" i="48"/>
  <c r="X105" i="48"/>
  <c r="Y105" i="48"/>
  <c r="Z105" i="48"/>
  <c r="AA105" i="48"/>
  <c r="AB105" i="48"/>
  <c r="AC105" i="48"/>
  <c r="AD105" i="48"/>
  <c r="AE105" i="48"/>
  <c r="AF105" i="48"/>
  <c r="AG105" i="48"/>
  <c r="D106" i="48"/>
  <c r="O106" i="48"/>
  <c r="P106" i="48"/>
  <c r="Q106" i="48"/>
  <c r="U106" i="48"/>
  <c r="V106" i="48"/>
  <c r="W106" i="48"/>
  <c r="X106" i="48"/>
  <c r="Y106" i="48"/>
  <c r="Z106" i="48"/>
  <c r="AA106" i="48"/>
  <c r="AB106" i="48"/>
  <c r="AC106" i="48"/>
  <c r="AD106" i="48"/>
  <c r="AE106" i="48"/>
  <c r="AF106" i="48"/>
  <c r="AG106" i="48"/>
  <c r="D107" i="48"/>
  <c r="O107" i="48"/>
  <c r="P107" i="48"/>
  <c r="Q107" i="48"/>
  <c r="U107" i="48"/>
  <c r="V107" i="48"/>
  <c r="W107" i="48"/>
  <c r="X107" i="48"/>
  <c r="Y107" i="48"/>
  <c r="Z107" i="48"/>
  <c r="AA107" i="48"/>
  <c r="AB107" i="48"/>
  <c r="AC107" i="48"/>
  <c r="AD107" i="48"/>
  <c r="AE107" i="48"/>
  <c r="AF107" i="48"/>
  <c r="AG107" i="48"/>
  <c r="D108" i="48"/>
  <c r="O108" i="48"/>
  <c r="P108" i="48"/>
  <c r="Q108" i="48"/>
  <c r="U108" i="48"/>
  <c r="V108" i="48"/>
  <c r="W108" i="48"/>
  <c r="X108" i="48"/>
  <c r="Y108" i="48"/>
  <c r="Z108" i="48"/>
  <c r="AA108" i="48"/>
  <c r="AB108" i="48"/>
  <c r="AC108" i="48"/>
  <c r="AD108" i="48"/>
  <c r="AE108" i="48"/>
  <c r="AF108" i="48"/>
  <c r="AG108" i="48"/>
  <c r="D109" i="48"/>
  <c r="O109" i="48"/>
  <c r="P109" i="48"/>
  <c r="Q109" i="48"/>
  <c r="U109" i="48"/>
  <c r="V109" i="48"/>
  <c r="W109" i="48"/>
  <c r="X109" i="48"/>
  <c r="Y109" i="48"/>
  <c r="Z109" i="48"/>
  <c r="AA109" i="48"/>
  <c r="AB109" i="48"/>
  <c r="AC109" i="48"/>
  <c r="AD109" i="48"/>
  <c r="AE109" i="48"/>
  <c r="AF109" i="48"/>
  <c r="AG109" i="48"/>
  <c r="D110" i="48"/>
  <c r="O110" i="48"/>
  <c r="P110" i="48"/>
  <c r="Q110" i="48"/>
  <c r="U110" i="48"/>
  <c r="V110" i="48"/>
  <c r="W110" i="48"/>
  <c r="X110" i="48"/>
  <c r="Y110" i="48"/>
  <c r="Z110" i="48"/>
  <c r="AA110" i="48"/>
  <c r="AB110" i="48"/>
  <c r="AC110" i="48"/>
  <c r="AD110" i="48"/>
  <c r="AE110" i="48"/>
  <c r="AF110" i="48"/>
  <c r="AG110" i="48"/>
  <c r="D111" i="48"/>
  <c r="O111" i="48"/>
  <c r="P111" i="48"/>
  <c r="Q111" i="48"/>
  <c r="U111" i="48"/>
  <c r="V111" i="48"/>
  <c r="W111" i="48"/>
  <c r="X111" i="48"/>
  <c r="Y111" i="48"/>
  <c r="Z111" i="48"/>
  <c r="AA111" i="48"/>
  <c r="AB111" i="48"/>
  <c r="AC111" i="48"/>
  <c r="AD111" i="48"/>
  <c r="AE111" i="48"/>
  <c r="AF111" i="48"/>
  <c r="AG111" i="48"/>
  <c r="D112" i="48"/>
  <c r="O112" i="48"/>
  <c r="P112" i="48"/>
  <c r="Q112" i="48"/>
  <c r="U112" i="48"/>
  <c r="V112" i="48"/>
  <c r="W112" i="48"/>
  <c r="X112" i="48"/>
  <c r="Y112" i="48"/>
  <c r="Z112" i="48"/>
  <c r="AA112" i="48"/>
  <c r="AB112" i="48"/>
  <c r="AC112" i="48"/>
  <c r="AD112" i="48"/>
  <c r="AE112" i="48"/>
  <c r="AF112" i="48"/>
  <c r="AG112" i="48"/>
  <c r="D113" i="48"/>
  <c r="O113" i="48"/>
  <c r="P113" i="48"/>
  <c r="Q113" i="48"/>
  <c r="U113" i="48"/>
  <c r="V113" i="48"/>
  <c r="W113" i="48"/>
  <c r="X113" i="48"/>
  <c r="Y113" i="48"/>
  <c r="Z113" i="48"/>
  <c r="AA113" i="48"/>
  <c r="AB113" i="48"/>
  <c r="AC113" i="48"/>
  <c r="AD113" i="48"/>
  <c r="AE113" i="48"/>
  <c r="AF113" i="48"/>
  <c r="AG113" i="48"/>
  <c r="D114" i="48"/>
  <c r="O114" i="48"/>
  <c r="P114" i="48"/>
  <c r="Q114" i="48"/>
  <c r="U114" i="48"/>
  <c r="V114" i="48"/>
  <c r="W114" i="48"/>
  <c r="X114" i="48"/>
  <c r="Y114" i="48"/>
  <c r="Z114" i="48"/>
  <c r="AA114" i="48"/>
  <c r="AB114" i="48"/>
  <c r="AC114" i="48"/>
  <c r="AD114" i="48"/>
  <c r="AE114" i="48"/>
  <c r="AF114" i="48"/>
  <c r="AG114" i="48"/>
  <c r="D115" i="48"/>
  <c r="O115" i="48"/>
  <c r="P115" i="48"/>
  <c r="Q115" i="48"/>
  <c r="U115" i="48"/>
  <c r="V115" i="48"/>
  <c r="W115" i="48"/>
  <c r="X115" i="48"/>
  <c r="Y115" i="48"/>
  <c r="Z115" i="48"/>
  <c r="AA115" i="48"/>
  <c r="AB115" i="48"/>
  <c r="AC115" i="48"/>
  <c r="AD115" i="48"/>
  <c r="AE115" i="48"/>
  <c r="AF115" i="48"/>
  <c r="AG115" i="48"/>
  <c r="D116" i="48"/>
  <c r="O116" i="48"/>
  <c r="P116" i="48"/>
  <c r="Q116" i="48"/>
  <c r="U116" i="48"/>
  <c r="V116" i="48"/>
  <c r="W116" i="48"/>
  <c r="X116" i="48"/>
  <c r="Y116" i="48"/>
  <c r="Z116" i="48"/>
  <c r="AA116" i="48"/>
  <c r="AB116" i="48"/>
  <c r="AC116" i="48"/>
  <c r="AD116" i="48"/>
  <c r="AE116" i="48"/>
  <c r="AF116" i="48"/>
  <c r="AG116" i="48"/>
  <c r="D117" i="48"/>
  <c r="O117" i="48"/>
  <c r="P117" i="48"/>
  <c r="Q117" i="48"/>
  <c r="U117" i="48"/>
  <c r="V117" i="48"/>
  <c r="W117" i="48"/>
  <c r="X117" i="48"/>
  <c r="Y117" i="48"/>
  <c r="Z117" i="48"/>
  <c r="AA117" i="48"/>
  <c r="AB117" i="48"/>
  <c r="AC117" i="48"/>
  <c r="AD117" i="48"/>
  <c r="AE117" i="48"/>
  <c r="AF117" i="48"/>
  <c r="AG117" i="48"/>
  <c r="D118" i="48"/>
  <c r="O118" i="48"/>
  <c r="P118" i="48"/>
  <c r="Q118" i="48"/>
  <c r="U118" i="48"/>
  <c r="V118" i="48"/>
  <c r="W118" i="48"/>
  <c r="X118" i="48"/>
  <c r="Y118" i="48"/>
  <c r="Z118" i="48"/>
  <c r="AA118" i="48"/>
  <c r="AB118" i="48"/>
  <c r="AC118" i="48"/>
  <c r="AD118" i="48"/>
  <c r="AE118" i="48"/>
  <c r="AF118" i="48"/>
  <c r="AG118" i="48"/>
  <c r="D119" i="48"/>
  <c r="O119" i="48"/>
  <c r="P119" i="48"/>
  <c r="Q119" i="48"/>
  <c r="U119" i="48"/>
  <c r="V119" i="48"/>
  <c r="W119" i="48"/>
  <c r="X119" i="48"/>
  <c r="Y119" i="48"/>
  <c r="Z119" i="48"/>
  <c r="AA119" i="48"/>
  <c r="AB119" i="48"/>
  <c r="AC119" i="48"/>
  <c r="AD119" i="48"/>
  <c r="AE119" i="48"/>
  <c r="AF119" i="48"/>
  <c r="AG119" i="48"/>
  <c r="D120" i="48"/>
  <c r="O120" i="48"/>
  <c r="P120" i="48"/>
  <c r="Q120" i="48"/>
  <c r="U120" i="48"/>
  <c r="V120" i="48"/>
  <c r="W120" i="48"/>
  <c r="X120" i="48"/>
  <c r="Y120" i="48"/>
  <c r="Z120" i="48"/>
  <c r="AA120" i="48"/>
  <c r="AB120" i="48"/>
  <c r="AC120" i="48"/>
  <c r="AD120" i="48"/>
  <c r="AE120" i="48"/>
  <c r="AF120" i="48"/>
  <c r="AG120" i="48"/>
  <c r="D121" i="48"/>
  <c r="O121" i="48"/>
  <c r="P121" i="48"/>
  <c r="Q121" i="48"/>
  <c r="U121" i="48"/>
  <c r="V121" i="48"/>
  <c r="W121" i="48"/>
  <c r="X121" i="48"/>
  <c r="Y121" i="48"/>
  <c r="Z121" i="48"/>
  <c r="AA121" i="48"/>
  <c r="AB121" i="48"/>
  <c r="AC121" i="48"/>
  <c r="AD121" i="48"/>
  <c r="AE121" i="48"/>
  <c r="AF121" i="48"/>
  <c r="AG121" i="48"/>
  <c r="D122" i="48"/>
  <c r="O122" i="48"/>
  <c r="P122" i="48"/>
  <c r="Q122" i="48"/>
  <c r="U122" i="48"/>
  <c r="V122" i="48"/>
  <c r="W122" i="48"/>
  <c r="X122" i="48"/>
  <c r="Y122" i="48"/>
  <c r="Z122" i="48"/>
  <c r="AA122" i="48"/>
  <c r="AB122" i="48"/>
  <c r="AC122" i="48"/>
  <c r="AD122" i="48"/>
  <c r="AE122" i="48"/>
  <c r="AF122" i="48"/>
  <c r="AG122" i="48"/>
  <c r="D123" i="48"/>
  <c r="O123" i="48"/>
  <c r="P123" i="48"/>
  <c r="Q123" i="48"/>
  <c r="U123" i="48"/>
  <c r="V123" i="48"/>
  <c r="W123" i="48"/>
  <c r="X123" i="48"/>
  <c r="Y123" i="48"/>
  <c r="Z123" i="48"/>
  <c r="AA123" i="48"/>
  <c r="AB123" i="48"/>
  <c r="AC123" i="48"/>
  <c r="AD123" i="48"/>
  <c r="AE123" i="48"/>
  <c r="AF123" i="48"/>
  <c r="AG123" i="48"/>
  <c r="D124" i="48"/>
  <c r="O124" i="48"/>
  <c r="P124" i="48"/>
  <c r="Q124" i="48"/>
  <c r="U124" i="48"/>
  <c r="V124" i="48"/>
  <c r="W124" i="48"/>
  <c r="X124" i="48"/>
  <c r="Y124" i="48"/>
  <c r="Z124" i="48"/>
  <c r="AA124" i="48"/>
  <c r="AB124" i="48"/>
  <c r="AC124" i="48"/>
  <c r="AD124" i="48"/>
  <c r="AE124" i="48"/>
  <c r="AF124" i="48"/>
  <c r="AG124" i="48"/>
  <c r="D125" i="48"/>
  <c r="O125" i="48"/>
  <c r="P125" i="48"/>
  <c r="Q125" i="48"/>
  <c r="U125" i="48"/>
  <c r="V125" i="48"/>
  <c r="W125" i="48"/>
  <c r="X125" i="48"/>
  <c r="Y125" i="48"/>
  <c r="Z125" i="48"/>
  <c r="AA125" i="48"/>
  <c r="AB125" i="48"/>
  <c r="AC125" i="48"/>
  <c r="AD125" i="48"/>
  <c r="AE125" i="48"/>
  <c r="AF125" i="48"/>
  <c r="AG125" i="48"/>
  <c r="D126" i="48"/>
  <c r="O126" i="48"/>
  <c r="P126" i="48"/>
  <c r="Q126" i="48"/>
  <c r="U126" i="48"/>
  <c r="V126" i="48"/>
  <c r="W126" i="48"/>
  <c r="X126" i="48"/>
  <c r="Y126" i="48"/>
  <c r="Z126" i="48"/>
  <c r="AA126" i="48"/>
  <c r="AB126" i="48"/>
  <c r="AC126" i="48"/>
  <c r="AD126" i="48"/>
  <c r="AE126" i="48"/>
  <c r="AF126" i="48"/>
  <c r="AG126" i="48"/>
  <c r="D127" i="48"/>
  <c r="O127" i="48"/>
  <c r="P127" i="48"/>
  <c r="Q127" i="48"/>
  <c r="U127" i="48"/>
  <c r="V127" i="48"/>
  <c r="W127" i="48"/>
  <c r="X127" i="48"/>
  <c r="Y127" i="48"/>
  <c r="Z127" i="48"/>
  <c r="AA127" i="48"/>
  <c r="AB127" i="48"/>
  <c r="AC127" i="48"/>
  <c r="AD127" i="48"/>
  <c r="AE127" i="48"/>
  <c r="AF127" i="48"/>
  <c r="AG127" i="48"/>
  <c r="D128" i="48"/>
  <c r="O128" i="48"/>
  <c r="P128" i="48"/>
  <c r="Q128" i="48"/>
  <c r="U128" i="48"/>
  <c r="V128" i="48"/>
  <c r="W128" i="48"/>
  <c r="X128" i="48"/>
  <c r="Y128" i="48"/>
  <c r="Z128" i="48"/>
  <c r="AA128" i="48"/>
  <c r="AB128" i="48"/>
  <c r="AC128" i="48"/>
  <c r="AD128" i="48"/>
  <c r="AE128" i="48"/>
  <c r="AF128" i="48"/>
  <c r="AG128" i="48"/>
  <c r="D129" i="48"/>
  <c r="O129" i="48"/>
  <c r="P129" i="48"/>
  <c r="Q129" i="48"/>
  <c r="U129" i="48"/>
  <c r="V129" i="48"/>
  <c r="W129" i="48"/>
  <c r="X129" i="48"/>
  <c r="Y129" i="48"/>
  <c r="Z129" i="48"/>
  <c r="AA129" i="48"/>
  <c r="AB129" i="48"/>
  <c r="AC129" i="48"/>
  <c r="AD129" i="48"/>
  <c r="AE129" i="48"/>
  <c r="AF129" i="48"/>
  <c r="AG129" i="48"/>
  <c r="D130" i="48"/>
  <c r="O130" i="48"/>
  <c r="P130" i="48"/>
  <c r="Q130" i="48"/>
  <c r="U130" i="48"/>
  <c r="V130" i="48"/>
  <c r="W130" i="48"/>
  <c r="X130" i="48"/>
  <c r="Y130" i="48"/>
  <c r="Z130" i="48"/>
  <c r="AA130" i="48"/>
  <c r="AB130" i="48"/>
  <c r="AC130" i="48"/>
  <c r="AD130" i="48"/>
  <c r="AE130" i="48"/>
  <c r="AF130" i="48"/>
  <c r="AG130" i="48"/>
  <c r="D131" i="48"/>
  <c r="O131" i="48"/>
  <c r="P131" i="48"/>
  <c r="Q131" i="48"/>
  <c r="U131" i="48"/>
  <c r="V131" i="48"/>
  <c r="W131" i="48"/>
  <c r="X131" i="48"/>
  <c r="Y131" i="48"/>
  <c r="Z131" i="48"/>
  <c r="AA131" i="48"/>
  <c r="AB131" i="48"/>
  <c r="AC131" i="48"/>
  <c r="AD131" i="48"/>
  <c r="AE131" i="48"/>
  <c r="AF131" i="48"/>
  <c r="AG131" i="48"/>
  <c r="D132" i="48"/>
  <c r="O132" i="48"/>
  <c r="P132" i="48"/>
  <c r="Q132" i="48"/>
  <c r="U132" i="48"/>
  <c r="V132" i="48"/>
  <c r="W132" i="48"/>
  <c r="X132" i="48"/>
  <c r="Y132" i="48"/>
  <c r="Z132" i="48"/>
  <c r="AA132" i="48"/>
  <c r="AB132" i="48"/>
  <c r="AC132" i="48"/>
  <c r="AD132" i="48"/>
  <c r="AE132" i="48"/>
  <c r="AF132" i="48"/>
  <c r="AG132" i="48"/>
  <c r="D133" i="48"/>
  <c r="O133" i="48"/>
  <c r="P133" i="48"/>
  <c r="Q133" i="48"/>
  <c r="U133" i="48"/>
  <c r="V133" i="48"/>
  <c r="W133" i="48"/>
  <c r="X133" i="48"/>
  <c r="Y133" i="48"/>
  <c r="Z133" i="48"/>
  <c r="AA133" i="48"/>
  <c r="AB133" i="48"/>
  <c r="AC133" i="48"/>
  <c r="AD133" i="48"/>
  <c r="AE133" i="48"/>
  <c r="AF133" i="48"/>
  <c r="AG133" i="48"/>
  <c r="D134" i="48"/>
  <c r="O134" i="48"/>
  <c r="P134" i="48"/>
  <c r="Q134" i="48"/>
  <c r="U134" i="48"/>
  <c r="V134" i="48"/>
  <c r="W134" i="48"/>
  <c r="X134" i="48"/>
  <c r="Y134" i="48"/>
  <c r="Z134" i="48"/>
  <c r="AA134" i="48"/>
  <c r="AB134" i="48"/>
  <c r="AC134" i="48"/>
  <c r="AD134" i="48"/>
  <c r="AE134" i="48"/>
  <c r="AF134" i="48"/>
  <c r="AG134" i="48"/>
  <c r="D135" i="48"/>
  <c r="O135" i="48"/>
  <c r="P135" i="48"/>
  <c r="Q135" i="48"/>
  <c r="U135" i="48"/>
  <c r="V135" i="48"/>
  <c r="W135" i="48"/>
  <c r="X135" i="48"/>
  <c r="Y135" i="48"/>
  <c r="Z135" i="48"/>
  <c r="AA135" i="48"/>
  <c r="AB135" i="48"/>
  <c r="AC135" i="48"/>
  <c r="AD135" i="48"/>
  <c r="AE135" i="48"/>
  <c r="AF135" i="48"/>
  <c r="AG135" i="48"/>
  <c r="D136" i="48"/>
  <c r="O136" i="48"/>
  <c r="P136" i="48"/>
  <c r="Q136" i="48"/>
  <c r="U136" i="48"/>
  <c r="V136" i="48"/>
  <c r="W136" i="48"/>
  <c r="X136" i="48"/>
  <c r="Y136" i="48"/>
  <c r="Z136" i="48"/>
  <c r="AA136" i="48"/>
  <c r="AB136" i="48"/>
  <c r="AC136" i="48"/>
  <c r="AD136" i="48"/>
  <c r="AE136" i="48"/>
  <c r="AF136" i="48"/>
  <c r="AG136" i="48"/>
  <c r="D137" i="48"/>
  <c r="O137" i="48"/>
  <c r="P137" i="48"/>
  <c r="Q137" i="48"/>
  <c r="U137" i="48"/>
  <c r="V137" i="48"/>
  <c r="W137" i="48"/>
  <c r="X137" i="48"/>
  <c r="Y137" i="48"/>
  <c r="Z137" i="48"/>
  <c r="AA137" i="48"/>
  <c r="AB137" i="48"/>
  <c r="AC137" i="48"/>
  <c r="AD137" i="48"/>
  <c r="AE137" i="48"/>
  <c r="AF137" i="48"/>
  <c r="AG137" i="48"/>
  <c r="D138" i="48"/>
  <c r="O138" i="48"/>
  <c r="P138" i="48"/>
  <c r="Q138" i="48"/>
  <c r="U138" i="48"/>
  <c r="V138" i="48"/>
  <c r="W138" i="48"/>
  <c r="X138" i="48"/>
  <c r="Y138" i="48"/>
  <c r="Z138" i="48"/>
  <c r="AA138" i="48"/>
  <c r="AB138" i="48"/>
  <c r="AC138" i="48"/>
  <c r="AD138" i="48"/>
  <c r="AE138" i="48"/>
  <c r="AF138" i="48"/>
  <c r="AG138" i="48"/>
  <c r="D139" i="48"/>
  <c r="O139" i="48"/>
  <c r="P139" i="48"/>
  <c r="Q139" i="48"/>
  <c r="U139" i="48"/>
  <c r="V139" i="48"/>
  <c r="W139" i="48"/>
  <c r="X139" i="48"/>
  <c r="Y139" i="48"/>
  <c r="Z139" i="48"/>
  <c r="AA139" i="48"/>
  <c r="AB139" i="48"/>
  <c r="AC139" i="48"/>
  <c r="AD139" i="48"/>
  <c r="AE139" i="48"/>
  <c r="AF139" i="48"/>
  <c r="AG139" i="48"/>
  <c r="D140" i="48"/>
  <c r="O140" i="48"/>
  <c r="P140" i="48"/>
  <c r="Q140" i="48"/>
  <c r="U140" i="48"/>
  <c r="V140" i="48"/>
  <c r="W140" i="48"/>
  <c r="X140" i="48"/>
  <c r="Y140" i="48"/>
  <c r="Z140" i="48"/>
  <c r="AA140" i="48"/>
  <c r="AB140" i="48"/>
  <c r="AC140" i="48"/>
  <c r="AD140" i="48"/>
  <c r="AE140" i="48"/>
  <c r="AF140" i="48"/>
  <c r="AG140" i="48"/>
  <c r="D141" i="48"/>
  <c r="O141" i="48"/>
  <c r="P141" i="48"/>
  <c r="Q141" i="48"/>
  <c r="U141" i="48"/>
  <c r="V141" i="48"/>
  <c r="W141" i="48"/>
  <c r="X141" i="48"/>
  <c r="Y141" i="48"/>
  <c r="Z141" i="48"/>
  <c r="AA141" i="48"/>
  <c r="AB141" i="48"/>
  <c r="AC141" i="48"/>
  <c r="AD141" i="48"/>
  <c r="AE141" i="48"/>
  <c r="AF141" i="48"/>
  <c r="AG141" i="48"/>
  <c r="D142" i="48"/>
  <c r="O142" i="48"/>
  <c r="P142" i="48"/>
  <c r="Q142" i="48"/>
  <c r="U142" i="48"/>
  <c r="V142" i="48"/>
  <c r="W142" i="48"/>
  <c r="X142" i="48"/>
  <c r="Y142" i="48"/>
  <c r="Z142" i="48"/>
  <c r="AA142" i="48"/>
  <c r="AB142" i="48"/>
  <c r="AC142" i="48"/>
  <c r="AD142" i="48"/>
  <c r="AE142" i="48"/>
  <c r="AF142" i="48"/>
  <c r="AG142" i="48"/>
  <c r="D143" i="48"/>
  <c r="O143" i="48"/>
  <c r="P143" i="48"/>
  <c r="Q143" i="48"/>
  <c r="U143" i="48"/>
  <c r="V143" i="48"/>
  <c r="W143" i="48"/>
  <c r="X143" i="48"/>
  <c r="Y143" i="48"/>
  <c r="Z143" i="48"/>
  <c r="AA143" i="48"/>
  <c r="AB143" i="48"/>
  <c r="AC143" i="48"/>
  <c r="AD143" i="48"/>
  <c r="AE143" i="48"/>
  <c r="AF143" i="48"/>
  <c r="AG143" i="48"/>
  <c r="D144" i="48"/>
  <c r="O144" i="48"/>
  <c r="P144" i="48"/>
  <c r="Q144" i="48"/>
  <c r="U144" i="48"/>
  <c r="V144" i="48"/>
  <c r="W144" i="48"/>
  <c r="X144" i="48"/>
  <c r="Y144" i="48"/>
  <c r="Z144" i="48"/>
  <c r="AA144" i="48"/>
  <c r="AB144" i="48"/>
  <c r="AC144" i="48"/>
  <c r="AD144" i="48"/>
  <c r="AE144" i="48"/>
  <c r="AF144" i="48"/>
  <c r="AG144" i="48"/>
  <c r="D145" i="48"/>
  <c r="O145" i="48"/>
  <c r="P145" i="48"/>
  <c r="Q145" i="48"/>
  <c r="U145" i="48"/>
  <c r="V145" i="48"/>
  <c r="W145" i="48"/>
  <c r="X145" i="48"/>
  <c r="Y145" i="48"/>
  <c r="Z145" i="48"/>
  <c r="AA145" i="48"/>
  <c r="AB145" i="48"/>
  <c r="AC145" i="48"/>
  <c r="AD145" i="48"/>
  <c r="AE145" i="48"/>
  <c r="AF145" i="48"/>
  <c r="AG145" i="48"/>
  <c r="D146" i="48"/>
  <c r="O146" i="48"/>
  <c r="P146" i="48"/>
  <c r="Q146" i="48"/>
  <c r="U146" i="48"/>
  <c r="V146" i="48"/>
  <c r="W146" i="48"/>
  <c r="X146" i="48"/>
  <c r="Y146" i="48"/>
  <c r="Z146" i="48"/>
  <c r="AA146" i="48"/>
  <c r="AB146" i="48"/>
  <c r="AC146" i="48"/>
  <c r="AD146" i="48"/>
  <c r="AE146" i="48"/>
  <c r="AF146" i="48"/>
  <c r="AG146" i="48"/>
  <c r="D147" i="48"/>
  <c r="O147" i="48"/>
  <c r="P147" i="48"/>
  <c r="Q147" i="48"/>
  <c r="U147" i="48"/>
  <c r="V147" i="48"/>
  <c r="W147" i="48"/>
  <c r="X147" i="48"/>
  <c r="Y147" i="48"/>
  <c r="Z147" i="48"/>
  <c r="AA147" i="48"/>
  <c r="AB147" i="48"/>
  <c r="AC147" i="48"/>
  <c r="AD147" i="48"/>
  <c r="AE147" i="48"/>
  <c r="AF147" i="48"/>
  <c r="AG147" i="48"/>
  <c r="D148" i="48"/>
  <c r="O148" i="48"/>
  <c r="P148" i="48"/>
  <c r="Q148" i="48"/>
  <c r="U148" i="48"/>
  <c r="V148" i="48"/>
  <c r="W148" i="48"/>
  <c r="X148" i="48"/>
  <c r="Y148" i="48"/>
  <c r="Z148" i="48"/>
  <c r="AA148" i="48"/>
  <c r="AB148" i="48"/>
  <c r="AC148" i="48"/>
  <c r="AD148" i="48"/>
  <c r="AE148" i="48"/>
  <c r="AF148" i="48"/>
  <c r="AG148" i="48"/>
  <c r="D149" i="48"/>
  <c r="O149" i="48"/>
  <c r="P149" i="48"/>
  <c r="Q149" i="48"/>
  <c r="U149" i="48"/>
  <c r="V149" i="48"/>
  <c r="W149" i="48"/>
  <c r="X149" i="48"/>
  <c r="Y149" i="48"/>
  <c r="Z149" i="48"/>
  <c r="AA149" i="48"/>
  <c r="AB149" i="48"/>
  <c r="AC149" i="48"/>
  <c r="AD149" i="48"/>
  <c r="AE149" i="48"/>
  <c r="AF149" i="48"/>
  <c r="AG149" i="48"/>
  <c r="D150" i="48"/>
  <c r="O150" i="48"/>
  <c r="P150" i="48"/>
  <c r="Q150" i="48"/>
  <c r="U150" i="48"/>
  <c r="V150" i="48"/>
  <c r="W150" i="48"/>
  <c r="X150" i="48"/>
  <c r="Y150" i="48"/>
  <c r="Z150" i="48"/>
  <c r="AA150" i="48"/>
  <c r="AB150" i="48"/>
  <c r="AC150" i="48"/>
  <c r="AD150" i="48"/>
  <c r="AE150" i="48"/>
  <c r="AF150" i="48"/>
  <c r="AG150" i="48"/>
  <c r="D151" i="48"/>
  <c r="O151" i="48"/>
  <c r="P151" i="48"/>
  <c r="Q151" i="48"/>
  <c r="U151" i="48"/>
  <c r="V151" i="48"/>
  <c r="W151" i="48"/>
  <c r="X151" i="48"/>
  <c r="Y151" i="48"/>
  <c r="Z151" i="48"/>
  <c r="AA151" i="48"/>
  <c r="AB151" i="48"/>
  <c r="AC151" i="48"/>
  <c r="AD151" i="48"/>
  <c r="AE151" i="48"/>
  <c r="AF151" i="48"/>
  <c r="AG151" i="48"/>
  <c r="D152" i="48"/>
  <c r="O152" i="48"/>
  <c r="P152" i="48"/>
  <c r="Q152" i="48"/>
  <c r="U152" i="48"/>
  <c r="V152" i="48"/>
  <c r="W152" i="48"/>
  <c r="X152" i="48"/>
  <c r="Y152" i="48"/>
  <c r="Z152" i="48"/>
  <c r="AA152" i="48"/>
  <c r="AB152" i="48"/>
  <c r="AC152" i="48"/>
  <c r="AD152" i="48"/>
  <c r="AE152" i="48"/>
  <c r="AF152" i="48"/>
  <c r="AG152" i="48"/>
  <c r="D153" i="48"/>
  <c r="O153" i="48"/>
  <c r="P153" i="48"/>
  <c r="Q153" i="48"/>
  <c r="U153" i="48"/>
  <c r="V153" i="48"/>
  <c r="W153" i="48"/>
  <c r="X153" i="48"/>
  <c r="Y153" i="48"/>
  <c r="Z153" i="48"/>
  <c r="AA153" i="48"/>
  <c r="AB153" i="48"/>
  <c r="AC153" i="48"/>
  <c r="AD153" i="48"/>
  <c r="AE153" i="48"/>
  <c r="AF153" i="48"/>
  <c r="AG153" i="48"/>
  <c r="D154" i="48"/>
  <c r="O154" i="48"/>
  <c r="P154" i="48"/>
  <c r="Q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D155" i="48"/>
  <c r="O155" i="48"/>
  <c r="P155" i="48"/>
  <c r="Q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D156" i="48"/>
  <c r="O156" i="48"/>
  <c r="P156" i="48"/>
  <c r="Q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D157" i="48"/>
  <c r="O157" i="48"/>
  <c r="P157" i="48"/>
  <c r="Q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D158" i="48"/>
  <c r="O158" i="48"/>
  <c r="P158" i="48"/>
  <c r="Q158" i="48"/>
  <c r="U158" i="48"/>
  <c r="V158" i="48"/>
  <c r="W158" i="48"/>
  <c r="X158" i="48"/>
  <c r="Y158" i="48"/>
  <c r="Z158" i="48"/>
  <c r="AA158" i="48"/>
  <c r="AB158" i="48"/>
  <c r="AC158" i="48"/>
  <c r="AD158" i="48"/>
  <c r="AE158" i="48"/>
  <c r="AF158" i="48"/>
  <c r="AG158" i="48"/>
  <c r="D159" i="48"/>
  <c r="O159" i="48"/>
  <c r="P159" i="48"/>
  <c r="Q159" i="48"/>
  <c r="U159" i="48"/>
  <c r="V159" i="48"/>
  <c r="W159" i="48"/>
  <c r="X159" i="48"/>
  <c r="Y159" i="48"/>
  <c r="Z159" i="48"/>
  <c r="AA159" i="48"/>
  <c r="AB159" i="48"/>
  <c r="AC159" i="48"/>
  <c r="AD159" i="48"/>
  <c r="AE159" i="48"/>
  <c r="AF159" i="48"/>
  <c r="AG159" i="48"/>
  <c r="D160" i="48"/>
  <c r="O160" i="48"/>
  <c r="P160" i="48"/>
  <c r="Q160" i="48"/>
  <c r="U160" i="48"/>
  <c r="V160" i="48"/>
  <c r="W160" i="48"/>
  <c r="X160" i="48"/>
  <c r="Y160" i="48"/>
  <c r="Z160" i="48"/>
  <c r="AA160" i="48"/>
  <c r="AB160" i="48"/>
  <c r="AC160" i="48"/>
  <c r="AD160" i="48"/>
  <c r="AE160" i="48"/>
  <c r="AF160" i="48"/>
  <c r="AG160" i="48"/>
  <c r="D161" i="48"/>
  <c r="O161" i="48"/>
  <c r="P161" i="48"/>
  <c r="Q161" i="48"/>
  <c r="U161" i="48"/>
  <c r="V161" i="48"/>
  <c r="W161" i="48"/>
  <c r="X161" i="48"/>
  <c r="Y161" i="48"/>
  <c r="Z161" i="48"/>
  <c r="AA161" i="48"/>
  <c r="AB161" i="48"/>
  <c r="AC161" i="48"/>
  <c r="AD161" i="48"/>
  <c r="AE161" i="48"/>
  <c r="AF161" i="48"/>
  <c r="AG161" i="48"/>
  <c r="D162" i="48"/>
  <c r="O162" i="48"/>
  <c r="P162" i="48"/>
  <c r="Q162" i="48"/>
  <c r="U162" i="48"/>
  <c r="V162" i="48"/>
  <c r="W162" i="48"/>
  <c r="X162" i="48"/>
  <c r="Y162" i="48"/>
  <c r="Z162" i="48"/>
  <c r="AA162" i="48"/>
  <c r="AB162" i="48"/>
  <c r="AC162" i="48"/>
  <c r="AD162" i="48"/>
  <c r="AE162" i="48"/>
  <c r="AF162" i="48"/>
  <c r="AG162" i="48"/>
  <c r="D163" i="48"/>
  <c r="O163" i="48"/>
  <c r="P163" i="48"/>
  <c r="Q163" i="48"/>
  <c r="U163" i="48"/>
  <c r="V163" i="48"/>
  <c r="W163" i="48"/>
  <c r="X163" i="48"/>
  <c r="Y163" i="48"/>
  <c r="Z163" i="48"/>
  <c r="AA163" i="48"/>
  <c r="AB163" i="48"/>
  <c r="AC163" i="48"/>
  <c r="AD163" i="48"/>
  <c r="AE163" i="48"/>
  <c r="AF163" i="48"/>
  <c r="AG163" i="48"/>
  <c r="D164" i="48"/>
  <c r="O164" i="48"/>
  <c r="P164" i="48"/>
  <c r="Q164" i="48"/>
  <c r="U164" i="48"/>
  <c r="V164" i="48"/>
  <c r="W164" i="48"/>
  <c r="X164" i="48"/>
  <c r="Y164" i="48"/>
  <c r="Z164" i="48"/>
  <c r="AA164" i="48"/>
  <c r="AB164" i="48"/>
  <c r="AC164" i="48"/>
  <c r="AD164" i="48"/>
  <c r="AE164" i="48"/>
  <c r="AF164" i="48"/>
  <c r="AG164" i="48"/>
  <c r="D165" i="48"/>
  <c r="O165" i="48"/>
  <c r="P165" i="48"/>
  <c r="Q165" i="48"/>
  <c r="U165" i="48"/>
  <c r="V165" i="48"/>
  <c r="W165" i="48"/>
  <c r="X165" i="48"/>
  <c r="Y165" i="48"/>
  <c r="Z165" i="48"/>
  <c r="AA165" i="48"/>
  <c r="AB165" i="48"/>
  <c r="AC165" i="48"/>
  <c r="AD165" i="48"/>
  <c r="AE165" i="48"/>
  <c r="AF165" i="48"/>
  <c r="AG165" i="48"/>
  <c r="D166" i="48"/>
  <c r="O166" i="48"/>
  <c r="P166" i="48"/>
  <c r="Q166" i="48"/>
  <c r="U166" i="48"/>
  <c r="V166" i="48"/>
  <c r="W166" i="48"/>
  <c r="X166" i="48"/>
  <c r="Y166" i="48"/>
  <c r="Z166" i="48"/>
  <c r="AA166" i="48"/>
  <c r="AB166" i="48"/>
  <c r="AC166" i="48"/>
  <c r="AD166" i="48"/>
  <c r="AE166" i="48"/>
  <c r="AF166" i="48"/>
  <c r="AG166" i="48"/>
  <c r="D167" i="48"/>
  <c r="O167" i="48"/>
  <c r="P167" i="48"/>
  <c r="Q167" i="48"/>
  <c r="U167" i="48"/>
  <c r="V167" i="48"/>
  <c r="W167" i="48"/>
  <c r="X167" i="48"/>
  <c r="Y167" i="48"/>
  <c r="Z167" i="48"/>
  <c r="AA167" i="48"/>
  <c r="AB167" i="48"/>
  <c r="AC167" i="48"/>
  <c r="AD167" i="48"/>
  <c r="AE167" i="48"/>
  <c r="AF167" i="48"/>
  <c r="AG167" i="48"/>
  <c r="D168" i="48"/>
  <c r="O168" i="48"/>
  <c r="P168" i="48"/>
  <c r="Q168" i="48"/>
  <c r="U168" i="48"/>
  <c r="V168" i="48"/>
  <c r="W168" i="48"/>
  <c r="X168" i="48"/>
  <c r="Y168" i="48"/>
  <c r="Z168" i="48"/>
  <c r="AA168" i="48"/>
  <c r="AB168" i="48"/>
  <c r="AC168" i="48"/>
  <c r="AD168" i="48"/>
  <c r="AE168" i="48"/>
  <c r="AF168" i="48"/>
  <c r="AG168" i="48"/>
  <c r="D169" i="48"/>
  <c r="O169" i="48"/>
  <c r="P169" i="48"/>
  <c r="Q169" i="48"/>
  <c r="U169" i="48"/>
  <c r="V169" i="48"/>
  <c r="W169" i="48"/>
  <c r="X169" i="48"/>
  <c r="Y169" i="48"/>
  <c r="Z169" i="48"/>
  <c r="AA169" i="48"/>
  <c r="AB169" i="48"/>
  <c r="AC169" i="48"/>
  <c r="AD169" i="48"/>
  <c r="AE169" i="48"/>
  <c r="AF169" i="48"/>
  <c r="AG169" i="48"/>
  <c r="D170" i="48"/>
  <c r="O170" i="48"/>
  <c r="P170" i="48"/>
  <c r="Q170" i="48"/>
  <c r="U170" i="48"/>
  <c r="V170" i="48"/>
  <c r="W170" i="48"/>
  <c r="X170" i="48"/>
  <c r="Y170" i="48"/>
  <c r="Z170" i="48"/>
  <c r="AA170" i="48"/>
  <c r="AB170" i="48"/>
  <c r="AC170" i="48"/>
  <c r="AD170" i="48"/>
  <c r="AE170" i="48"/>
  <c r="AF170" i="48"/>
  <c r="AG170" i="48"/>
  <c r="D171" i="48"/>
  <c r="O171" i="48"/>
  <c r="P171" i="48"/>
  <c r="Q171" i="48"/>
  <c r="U171" i="48"/>
  <c r="V171" i="48"/>
  <c r="W171" i="48"/>
  <c r="X171" i="48"/>
  <c r="Y171" i="48"/>
  <c r="Z171" i="48"/>
  <c r="AA171" i="48"/>
  <c r="AB171" i="48"/>
  <c r="AC171" i="48"/>
  <c r="AD171" i="48"/>
  <c r="AE171" i="48"/>
  <c r="AF171" i="48"/>
  <c r="AG171" i="48"/>
  <c r="D172" i="48"/>
  <c r="O172" i="48"/>
  <c r="P172" i="48"/>
  <c r="Q172" i="48"/>
  <c r="U172" i="48"/>
  <c r="V172" i="48"/>
  <c r="W172" i="48"/>
  <c r="X172" i="48"/>
  <c r="Y172" i="48"/>
  <c r="Z172" i="48"/>
  <c r="AA172" i="48"/>
  <c r="AB172" i="48"/>
  <c r="AC172" i="48"/>
  <c r="AD172" i="48"/>
  <c r="AE172" i="48"/>
  <c r="AF172" i="48"/>
  <c r="AG172" i="48"/>
  <c r="D173" i="48"/>
  <c r="O173" i="48"/>
  <c r="P173" i="48"/>
  <c r="Q173" i="48"/>
  <c r="U173" i="48"/>
  <c r="V173" i="48"/>
  <c r="W173" i="48"/>
  <c r="X173" i="48"/>
  <c r="Y173" i="48"/>
  <c r="Z173" i="48"/>
  <c r="AA173" i="48"/>
  <c r="AB173" i="48"/>
  <c r="AC173" i="48"/>
  <c r="AD173" i="48"/>
  <c r="AE173" i="48"/>
  <c r="AF173" i="48"/>
  <c r="AG173" i="48"/>
  <c r="D174" i="48"/>
  <c r="O174" i="48"/>
  <c r="P174" i="48"/>
  <c r="Q174" i="48"/>
  <c r="U174" i="48"/>
  <c r="V174" i="48"/>
  <c r="W174" i="48"/>
  <c r="X174" i="48"/>
  <c r="Y174" i="48"/>
  <c r="Z174" i="48"/>
  <c r="AA174" i="48"/>
  <c r="AB174" i="48"/>
  <c r="AC174" i="48"/>
  <c r="AD174" i="48"/>
  <c r="AE174" i="48"/>
  <c r="AF174" i="48"/>
  <c r="AG174" i="48"/>
  <c r="D175" i="48"/>
  <c r="O175" i="48"/>
  <c r="P175" i="48"/>
  <c r="Q175" i="48"/>
  <c r="U175" i="48"/>
  <c r="V175" i="48"/>
  <c r="W175" i="48"/>
  <c r="X175" i="48"/>
  <c r="Y175" i="48"/>
  <c r="Z175" i="48"/>
  <c r="AA175" i="48"/>
  <c r="AB175" i="48"/>
  <c r="AC175" i="48"/>
  <c r="AD175" i="48"/>
  <c r="AE175" i="48"/>
  <c r="AF175" i="48"/>
  <c r="AG175" i="48"/>
  <c r="D176" i="48"/>
  <c r="O176" i="48"/>
  <c r="P176" i="48"/>
  <c r="Q176" i="48"/>
  <c r="U176" i="48"/>
  <c r="V176" i="48"/>
  <c r="W176" i="48"/>
  <c r="X176" i="48"/>
  <c r="Y176" i="48"/>
  <c r="Z176" i="48"/>
  <c r="AA176" i="48"/>
  <c r="AB176" i="48"/>
  <c r="AC176" i="48"/>
  <c r="AD176" i="48"/>
  <c r="AE176" i="48"/>
  <c r="AF176" i="48"/>
  <c r="AG176" i="48"/>
  <c r="D177" i="48"/>
  <c r="O177" i="48"/>
  <c r="P177" i="48"/>
  <c r="Q177" i="48"/>
  <c r="U177" i="48"/>
  <c r="V177" i="48"/>
  <c r="W177" i="48"/>
  <c r="X177" i="48"/>
  <c r="Y177" i="48"/>
  <c r="Z177" i="48"/>
  <c r="AA177" i="48"/>
  <c r="AB177" i="48"/>
  <c r="AC177" i="48"/>
  <c r="AD177" i="48"/>
  <c r="AE177" i="48"/>
  <c r="AF177" i="48"/>
  <c r="AG177" i="48"/>
  <c r="D178" i="48"/>
  <c r="O178" i="48"/>
  <c r="P178" i="48"/>
  <c r="Q178" i="48"/>
  <c r="U178" i="48"/>
  <c r="V178" i="48"/>
  <c r="W178" i="48"/>
  <c r="X178" i="48"/>
  <c r="Y178" i="48"/>
  <c r="Z178" i="48"/>
  <c r="AA178" i="48"/>
  <c r="AB178" i="48"/>
  <c r="AC178" i="48"/>
  <c r="AD178" i="48"/>
  <c r="AE178" i="48"/>
  <c r="AF178" i="48"/>
  <c r="AG178" i="48"/>
  <c r="D179" i="48"/>
  <c r="O179" i="48"/>
  <c r="P179" i="48"/>
  <c r="Q179" i="48"/>
  <c r="U179" i="48"/>
  <c r="V179" i="48"/>
  <c r="W179" i="48"/>
  <c r="X179" i="48"/>
  <c r="Y179" i="48"/>
  <c r="Z179" i="48"/>
  <c r="AA179" i="48"/>
  <c r="AB179" i="48"/>
  <c r="AC179" i="48"/>
  <c r="AD179" i="48"/>
  <c r="AE179" i="48"/>
  <c r="AF179" i="48"/>
  <c r="AG179" i="48"/>
  <c r="D180" i="48"/>
  <c r="O180" i="48"/>
  <c r="P180" i="48"/>
  <c r="Q180" i="48"/>
  <c r="U180" i="48"/>
  <c r="V180" i="48"/>
  <c r="W180" i="48"/>
  <c r="X180" i="48"/>
  <c r="Y180" i="48"/>
  <c r="Z180" i="48"/>
  <c r="AA180" i="48"/>
  <c r="AB180" i="48"/>
  <c r="AC180" i="48"/>
  <c r="AD180" i="48"/>
  <c r="AE180" i="48"/>
  <c r="AF180" i="48"/>
  <c r="AG180" i="48"/>
  <c r="D181" i="48"/>
  <c r="O181" i="48"/>
  <c r="P181" i="48"/>
  <c r="Q181" i="48"/>
  <c r="U181" i="48"/>
  <c r="V181" i="48"/>
  <c r="W181" i="48"/>
  <c r="X181" i="48"/>
  <c r="Y181" i="48"/>
  <c r="Z181" i="48"/>
  <c r="AA181" i="48"/>
  <c r="AB181" i="48"/>
  <c r="AC181" i="48"/>
  <c r="AD181" i="48"/>
  <c r="AE181" i="48"/>
  <c r="AF181" i="48"/>
  <c r="AG181" i="48"/>
  <c r="D182" i="48"/>
  <c r="O182" i="48"/>
  <c r="P182" i="48"/>
  <c r="Q182" i="48"/>
  <c r="U182" i="48"/>
  <c r="V182" i="48"/>
  <c r="W182" i="48"/>
  <c r="X182" i="48"/>
  <c r="Y182" i="48"/>
  <c r="Z182" i="48"/>
  <c r="AA182" i="48"/>
  <c r="AB182" i="48"/>
  <c r="AC182" i="48"/>
  <c r="AD182" i="48"/>
  <c r="AE182" i="48"/>
  <c r="AF182" i="48"/>
  <c r="AG182" i="48"/>
  <c r="D183" i="48"/>
  <c r="O183" i="48"/>
  <c r="P183" i="48"/>
  <c r="Q183" i="48"/>
  <c r="U183" i="48"/>
  <c r="V183" i="48"/>
  <c r="W183" i="48"/>
  <c r="X183" i="48"/>
  <c r="Y183" i="48"/>
  <c r="Z183" i="48"/>
  <c r="AA183" i="48"/>
  <c r="AB183" i="48"/>
  <c r="AC183" i="48"/>
  <c r="AD183" i="48"/>
  <c r="AE183" i="48"/>
  <c r="AF183" i="48"/>
  <c r="AG183" i="48"/>
  <c r="D184" i="48"/>
  <c r="O184" i="48"/>
  <c r="P184" i="48"/>
  <c r="Q184" i="48"/>
  <c r="U184" i="48"/>
  <c r="V184" i="48"/>
  <c r="W184" i="48"/>
  <c r="X184" i="48"/>
  <c r="Y184" i="48"/>
  <c r="Z184" i="48"/>
  <c r="AA184" i="48"/>
  <c r="AB184" i="48"/>
  <c r="AC184" i="48"/>
  <c r="AD184" i="48"/>
  <c r="AE184" i="48"/>
  <c r="AF184" i="48"/>
  <c r="AG184" i="48"/>
  <c r="D185" i="48"/>
  <c r="O185" i="48"/>
  <c r="P185" i="48"/>
  <c r="Q185" i="48"/>
  <c r="U185" i="48"/>
  <c r="V185" i="48"/>
  <c r="W185" i="48"/>
  <c r="X185" i="48"/>
  <c r="Y185" i="48"/>
  <c r="Z185" i="48"/>
  <c r="AA185" i="48"/>
  <c r="AB185" i="48"/>
  <c r="AC185" i="48"/>
  <c r="AD185" i="48"/>
  <c r="AE185" i="48"/>
  <c r="AF185" i="48"/>
  <c r="AG185" i="48"/>
  <c r="D186" i="48"/>
  <c r="O186" i="48"/>
  <c r="P186" i="48"/>
  <c r="Q186" i="48"/>
  <c r="U186" i="48"/>
  <c r="V186" i="48"/>
  <c r="W186" i="48"/>
  <c r="X186" i="48"/>
  <c r="Y186" i="48"/>
  <c r="Z186" i="48"/>
  <c r="AA186" i="48"/>
  <c r="AB186" i="48"/>
  <c r="AC186" i="48"/>
  <c r="AD186" i="48"/>
  <c r="AE186" i="48"/>
  <c r="AF186" i="48"/>
  <c r="AG186" i="48"/>
  <c r="D187" i="48"/>
  <c r="O187" i="48"/>
  <c r="P187" i="48"/>
  <c r="Q187" i="48"/>
  <c r="U187" i="48"/>
  <c r="V187" i="48"/>
  <c r="W187" i="48"/>
  <c r="X187" i="48"/>
  <c r="Y187" i="48"/>
  <c r="Z187" i="48"/>
  <c r="AA187" i="48"/>
  <c r="AB187" i="48"/>
  <c r="AC187" i="48"/>
  <c r="AD187" i="48"/>
  <c r="AE187" i="48"/>
  <c r="AF187" i="48"/>
  <c r="AG187" i="48"/>
  <c r="D188" i="48"/>
  <c r="O188" i="48"/>
  <c r="P188" i="48"/>
  <c r="Q188" i="48"/>
  <c r="U188" i="48"/>
  <c r="V188" i="48"/>
  <c r="W188" i="48"/>
  <c r="X188" i="48"/>
  <c r="Y188" i="48"/>
  <c r="Z188" i="48"/>
  <c r="AA188" i="48"/>
  <c r="AB188" i="48"/>
  <c r="AC188" i="48"/>
  <c r="AD188" i="48"/>
  <c r="AE188" i="48"/>
  <c r="AF188" i="48"/>
  <c r="AG188" i="48"/>
  <c r="D189" i="48"/>
  <c r="O189" i="48"/>
  <c r="P189" i="48"/>
  <c r="Q189" i="48"/>
  <c r="U189" i="48"/>
  <c r="V189" i="48"/>
  <c r="W189" i="48"/>
  <c r="X189" i="48"/>
  <c r="Y189" i="48"/>
  <c r="Z189" i="48"/>
  <c r="AA189" i="48"/>
  <c r="AB189" i="48"/>
  <c r="AC189" i="48"/>
  <c r="AD189" i="48"/>
  <c r="AE189" i="48"/>
  <c r="AF189" i="48"/>
  <c r="AG189" i="48"/>
  <c r="D190" i="48"/>
  <c r="O190" i="48"/>
  <c r="P190" i="48"/>
  <c r="Q190" i="48"/>
  <c r="U190" i="48"/>
  <c r="V190" i="48"/>
  <c r="W190" i="48"/>
  <c r="X190" i="48"/>
  <c r="Y190" i="48"/>
  <c r="Z190" i="48"/>
  <c r="AA190" i="48"/>
  <c r="AB190" i="48"/>
  <c r="AC190" i="48"/>
  <c r="AD190" i="48"/>
  <c r="AE190" i="48"/>
  <c r="AF190" i="48"/>
  <c r="AG190" i="48"/>
  <c r="D191" i="48"/>
  <c r="O191" i="48"/>
  <c r="P191" i="48"/>
  <c r="Q191" i="48"/>
  <c r="U191" i="48"/>
  <c r="V191" i="48"/>
  <c r="W191" i="48"/>
  <c r="X191" i="48"/>
  <c r="Y191" i="48"/>
  <c r="Z191" i="48"/>
  <c r="AA191" i="48"/>
  <c r="AB191" i="48"/>
  <c r="AC191" i="48"/>
  <c r="AD191" i="48"/>
  <c r="AE191" i="48"/>
  <c r="AF191" i="48"/>
  <c r="AG191" i="48"/>
  <c r="D192" i="48"/>
  <c r="O192" i="48"/>
  <c r="P192" i="48"/>
  <c r="Q192" i="48"/>
  <c r="U192" i="48"/>
  <c r="V192" i="48"/>
  <c r="W192" i="48"/>
  <c r="X192" i="48"/>
  <c r="Y192" i="48"/>
  <c r="Z192" i="48"/>
  <c r="AA192" i="48"/>
  <c r="AB192" i="48"/>
  <c r="AC192" i="48"/>
  <c r="AD192" i="48"/>
  <c r="AE192" i="48"/>
  <c r="AF192" i="48"/>
  <c r="AG192" i="48"/>
  <c r="D193" i="48"/>
  <c r="O193" i="48"/>
  <c r="P193" i="48"/>
  <c r="Q193" i="48"/>
  <c r="U193" i="48"/>
  <c r="V193" i="48"/>
  <c r="W193" i="48"/>
  <c r="X193" i="48"/>
  <c r="Y193" i="48"/>
  <c r="Z193" i="48"/>
  <c r="AA193" i="48"/>
  <c r="AB193" i="48"/>
  <c r="AC193" i="48"/>
  <c r="AD193" i="48"/>
  <c r="AE193" i="48"/>
  <c r="AF193" i="48"/>
  <c r="AG193" i="48"/>
  <c r="D194" i="48"/>
  <c r="O194" i="48"/>
  <c r="P194" i="48"/>
  <c r="Q194" i="48"/>
  <c r="U194" i="48"/>
  <c r="V194" i="48"/>
  <c r="W194" i="48"/>
  <c r="X194" i="48"/>
  <c r="Y194" i="48"/>
  <c r="Z194" i="48"/>
  <c r="AA194" i="48"/>
  <c r="AB194" i="48"/>
  <c r="AC194" i="48"/>
  <c r="AD194" i="48"/>
  <c r="AE194" i="48"/>
  <c r="AF194" i="48"/>
  <c r="AG194" i="48"/>
  <c r="D195" i="48"/>
  <c r="O195" i="48"/>
  <c r="P195" i="48"/>
  <c r="Q195" i="48"/>
  <c r="U195" i="48"/>
  <c r="V195" i="48"/>
  <c r="W195" i="48"/>
  <c r="X195" i="48"/>
  <c r="Y195" i="48"/>
  <c r="Z195" i="48"/>
  <c r="AA195" i="48"/>
  <c r="AB195" i="48"/>
  <c r="AC195" i="48"/>
  <c r="AD195" i="48"/>
  <c r="AE195" i="48"/>
  <c r="AF195" i="48"/>
  <c r="AG195" i="48"/>
  <c r="D196" i="48"/>
  <c r="O196" i="48"/>
  <c r="P196" i="48"/>
  <c r="Q196" i="48"/>
  <c r="U196" i="48"/>
  <c r="V196" i="48"/>
  <c r="W196" i="48"/>
  <c r="X196" i="48"/>
  <c r="Y196" i="48"/>
  <c r="Z196" i="48"/>
  <c r="AA196" i="48"/>
  <c r="AB196" i="48"/>
  <c r="AC196" i="48"/>
  <c r="AD196" i="48"/>
  <c r="AE196" i="48"/>
  <c r="AF196" i="48"/>
  <c r="AG196" i="48"/>
  <c r="D197" i="48"/>
  <c r="O197" i="48"/>
  <c r="P197" i="48"/>
  <c r="Q197" i="48"/>
  <c r="U197" i="48"/>
  <c r="V197" i="48"/>
  <c r="W197" i="48"/>
  <c r="X197" i="48"/>
  <c r="Y197" i="48"/>
  <c r="Z197" i="48"/>
  <c r="AA197" i="48"/>
  <c r="AB197" i="48"/>
  <c r="AC197" i="48"/>
  <c r="AD197" i="48"/>
  <c r="AE197" i="48"/>
  <c r="AF197" i="48"/>
  <c r="AG197" i="48"/>
  <c r="D198" i="48"/>
  <c r="O198" i="48"/>
  <c r="P198" i="48"/>
  <c r="Q198" i="48"/>
  <c r="U198" i="48"/>
  <c r="V198" i="48"/>
  <c r="W198" i="48"/>
  <c r="X198" i="48"/>
  <c r="Y198" i="48"/>
  <c r="Z198" i="48"/>
  <c r="AA198" i="48"/>
  <c r="AB198" i="48"/>
  <c r="AC198" i="48"/>
  <c r="AD198" i="48"/>
  <c r="AE198" i="48"/>
  <c r="AF198" i="48"/>
  <c r="AG198" i="48"/>
  <c r="D199" i="48"/>
  <c r="O199" i="48"/>
  <c r="P199" i="48"/>
  <c r="Q199" i="48"/>
  <c r="U199" i="48"/>
  <c r="V199" i="48"/>
  <c r="W199" i="48"/>
  <c r="X199" i="48"/>
  <c r="Y199" i="48"/>
  <c r="Z199" i="48"/>
  <c r="AA199" i="48"/>
  <c r="AB199" i="48"/>
  <c r="AC199" i="48"/>
  <c r="AD199" i="48"/>
  <c r="AE199" i="48"/>
  <c r="AF199" i="48"/>
  <c r="AG199" i="48"/>
  <c r="D200" i="48"/>
  <c r="O200" i="48"/>
  <c r="P200" i="48"/>
  <c r="Q200" i="48"/>
  <c r="U200" i="48"/>
  <c r="V200" i="48"/>
  <c r="W200" i="48"/>
  <c r="X200" i="48"/>
  <c r="Y200" i="48"/>
  <c r="Z200" i="48"/>
  <c r="AA200" i="48"/>
  <c r="AB200" i="48"/>
  <c r="AC200" i="48"/>
  <c r="AD200" i="48"/>
  <c r="AE200" i="48"/>
  <c r="AF200" i="48"/>
  <c r="AG200" i="48"/>
  <c r="D201" i="48"/>
  <c r="O201" i="48"/>
  <c r="P201" i="48"/>
  <c r="Q201" i="48"/>
  <c r="U201" i="48"/>
  <c r="V201" i="48"/>
  <c r="W201" i="48"/>
  <c r="X201" i="48"/>
  <c r="Y201" i="48"/>
  <c r="Z201" i="48"/>
  <c r="AA201" i="48"/>
  <c r="AB201" i="48"/>
  <c r="AC201" i="48"/>
  <c r="AD201" i="48"/>
  <c r="AE201" i="48"/>
  <c r="AF201" i="48"/>
  <c r="AG201" i="48"/>
  <c r="D202" i="48"/>
  <c r="O202" i="48"/>
  <c r="P202" i="48"/>
  <c r="Q202" i="48"/>
  <c r="U202" i="48"/>
  <c r="V202" i="48"/>
  <c r="W202" i="48"/>
  <c r="X202" i="48"/>
  <c r="Y202" i="48"/>
  <c r="Z202" i="48"/>
  <c r="AA202" i="48"/>
  <c r="AB202" i="48"/>
  <c r="AC202" i="48"/>
  <c r="AD202" i="48"/>
  <c r="AE202" i="48"/>
  <c r="AF202" i="48"/>
  <c r="AG202" i="48"/>
  <c r="D203" i="48"/>
  <c r="O203" i="48"/>
  <c r="P203" i="48"/>
  <c r="Q203" i="48"/>
  <c r="U203" i="48"/>
  <c r="V203" i="48"/>
  <c r="W203" i="48"/>
  <c r="X203" i="48"/>
  <c r="Y203" i="48"/>
  <c r="Z203" i="48"/>
  <c r="AA203" i="48"/>
  <c r="AB203" i="48"/>
  <c r="AC203" i="48"/>
  <c r="AD203" i="48"/>
  <c r="AE203" i="48"/>
  <c r="AF203" i="48"/>
  <c r="AG203" i="48"/>
  <c r="D204" i="48"/>
  <c r="O204" i="48"/>
  <c r="P204" i="48"/>
  <c r="Q204" i="48"/>
  <c r="U204" i="48"/>
  <c r="V204" i="48"/>
  <c r="W204" i="48"/>
  <c r="X204" i="48"/>
  <c r="Y204" i="48"/>
  <c r="Z204" i="48"/>
  <c r="AA204" i="48"/>
  <c r="AB204" i="48"/>
  <c r="AC204" i="48"/>
  <c r="AD204" i="48"/>
  <c r="AE204" i="48"/>
  <c r="AF204" i="48"/>
  <c r="AG204" i="48"/>
  <c r="D205" i="48"/>
  <c r="O205" i="48"/>
  <c r="P205" i="48"/>
  <c r="Q205" i="48"/>
  <c r="U205" i="48"/>
  <c r="V205" i="48"/>
  <c r="W205" i="48"/>
  <c r="X205" i="48"/>
  <c r="Y205" i="48"/>
  <c r="Z205" i="48"/>
  <c r="AA205" i="48"/>
  <c r="AB205" i="48"/>
  <c r="AC205" i="48"/>
  <c r="AD205" i="48"/>
  <c r="AE205" i="48"/>
  <c r="AF205" i="48"/>
  <c r="AG205" i="48"/>
  <c r="D206" i="48"/>
  <c r="O206" i="48"/>
  <c r="P206" i="48"/>
  <c r="Q206" i="48"/>
  <c r="U206" i="48"/>
  <c r="V206" i="48"/>
  <c r="W206" i="48"/>
  <c r="X206" i="48"/>
  <c r="Y206" i="48"/>
  <c r="Z206" i="48"/>
  <c r="AA206" i="48"/>
  <c r="AB206" i="48"/>
  <c r="AC206" i="48"/>
  <c r="AD206" i="48"/>
  <c r="AE206" i="48"/>
  <c r="AF206" i="48"/>
  <c r="AG206" i="48"/>
  <c r="D207" i="48"/>
  <c r="O207" i="48"/>
  <c r="P207" i="48"/>
  <c r="Q207" i="48"/>
  <c r="U207" i="48"/>
  <c r="V207" i="48"/>
  <c r="W207" i="48"/>
  <c r="X207" i="48"/>
  <c r="Y207" i="48"/>
  <c r="Z207" i="48"/>
  <c r="AA207" i="48"/>
  <c r="AB207" i="48"/>
  <c r="AC207" i="48"/>
  <c r="AD207" i="48"/>
  <c r="AE207" i="48"/>
  <c r="AF207" i="48"/>
  <c r="AG207" i="48"/>
  <c r="D208" i="48"/>
  <c r="O208" i="48"/>
  <c r="P208" i="48"/>
  <c r="Q208" i="48"/>
  <c r="U208" i="48"/>
  <c r="V208" i="48"/>
  <c r="W208" i="48"/>
  <c r="X208" i="48"/>
  <c r="Y208" i="48"/>
  <c r="Z208" i="48"/>
  <c r="AA208" i="48"/>
  <c r="AB208" i="48"/>
  <c r="AC208" i="48"/>
  <c r="AD208" i="48"/>
  <c r="AE208" i="48"/>
  <c r="AF208" i="48"/>
  <c r="AG208" i="48"/>
  <c r="D209" i="48"/>
  <c r="O209" i="48"/>
  <c r="P209" i="48"/>
  <c r="Q209" i="48"/>
  <c r="U209" i="48"/>
  <c r="V209" i="48"/>
  <c r="W209" i="48"/>
  <c r="X209" i="48"/>
  <c r="Y209" i="48"/>
  <c r="Z209" i="48"/>
  <c r="AA209" i="48"/>
  <c r="AB209" i="48"/>
  <c r="AC209" i="48"/>
  <c r="AD209" i="48"/>
  <c r="AE209" i="48"/>
  <c r="AF209" i="48"/>
  <c r="AG209" i="48"/>
  <c r="D210" i="48"/>
  <c r="O210" i="48"/>
  <c r="P210" i="48"/>
  <c r="Q210" i="48"/>
  <c r="U210" i="48"/>
  <c r="V210" i="48"/>
  <c r="W210" i="48"/>
  <c r="X210" i="48"/>
  <c r="Y210" i="48"/>
  <c r="Z210" i="48"/>
  <c r="AA210" i="48"/>
  <c r="AB210" i="48"/>
  <c r="AC210" i="48"/>
  <c r="AD210" i="48"/>
  <c r="AE210" i="48"/>
  <c r="AF210" i="48"/>
  <c r="AG210" i="48"/>
  <c r="D211" i="48"/>
  <c r="O211" i="48"/>
  <c r="P211" i="48"/>
  <c r="Q211" i="48"/>
  <c r="U211" i="48"/>
  <c r="V211" i="48"/>
  <c r="W211" i="48"/>
  <c r="X211" i="48"/>
  <c r="Y211" i="48"/>
  <c r="Z211" i="48"/>
  <c r="AA211" i="48"/>
  <c r="AB211" i="48"/>
  <c r="AC211" i="48"/>
  <c r="AD211" i="48"/>
  <c r="AE211" i="48"/>
  <c r="AF211" i="48"/>
  <c r="AG211" i="48"/>
  <c r="D212" i="48"/>
  <c r="O212" i="48"/>
  <c r="P212" i="48"/>
  <c r="Q212" i="48"/>
  <c r="U212" i="48"/>
  <c r="V212" i="48"/>
  <c r="W212" i="48"/>
  <c r="X212" i="48"/>
  <c r="Y212" i="48"/>
  <c r="Z212" i="48"/>
  <c r="AA212" i="48"/>
  <c r="AB212" i="48"/>
  <c r="AC212" i="48"/>
  <c r="AD212" i="48"/>
  <c r="AE212" i="48"/>
  <c r="AF212" i="48"/>
  <c r="AG212" i="48"/>
  <c r="D213" i="48"/>
  <c r="O213" i="48"/>
  <c r="P213" i="48"/>
  <c r="Q213" i="48"/>
  <c r="U213" i="48"/>
  <c r="V213" i="48"/>
  <c r="W213" i="48"/>
  <c r="X213" i="48"/>
  <c r="Y213" i="48"/>
  <c r="Z213" i="48"/>
  <c r="AA213" i="48"/>
  <c r="AB213" i="48"/>
  <c r="AC213" i="48"/>
  <c r="AD213" i="48"/>
  <c r="AE213" i="48"/>
  <c r="AF213" i="48"/>
  <c r="AG213" i="48"/>
  <c r="AG13" i="48"/>
  <c r="AF13" i="48"/>
  <c r="AE13" i="48"/>
  <c r="AD13" i="48"/>
  <c r="AC13" i="48"/>
  <c r="AB13" i="48"/>
  <c r="AA13" i="48"/>
  <c r="Z13" i="48"/>
  <c r="Y13" i="48"/>
  <c r="X13" i="48"/>
  <c r="W13" i="48"/>
  <c r="V13" i="48"/>
  <c r="Q13" i="48"/>
  <c r="P13" i="48"/>
  <c r="O13" i="48"/>
  <c r="N13" i="48"/>
  <c r="F6" i="48"/>
  <c r="F7" i="48"/>
  <c r="F8" i="48"/>
  <c r="F9" i="48"/>
  <c r="F13" i="48"/>
  <c r="J12" i="48"/>
  <c r="X10" i="48"/>
  <c r="N10" i="48"/>
  <c r="V9" i="48"/>
  <c r="X9" i="48"/>
  <c r="N9" i="48"/>
  <c r="H9" i="48"/>
  <c r="G9" i="48"/>
  <c r="AB8" i="48"/>
  <c r="Z8" i="48"/>
  <c r="X8" i="48"/>
  <c r="V8" i="48"/>
  <c r="N8" i="48"/>
  <c r="G8" i="48"/>
  <c r="AB6" i="48"/>
  <c r="N6" i="48"/>
  <c r="AB7" i="48"/>
  <c r="Z6" i="48"/>
  <c r="Z7" i="48"/>
  <c r="X6" i="48"/>
  <c r="X7" i="48"/>
  <c r="V6" i="48"/>
  <c r="V7" i="48"/>
  <c r="J7" i="48"/>
  <c r="H7" i="48"/>
  <c r="I7" i="48"/>
  <c r="G7" i="48"/>
  <c r="AS4" i="48"/>
  <c r="AS5" i="48"/>
  <c r="AG13" i="47"/>
  <c r="AF13" i="47"/>
  <c r="AE13" i="47"/>
  <c r="AD13" i="47"/>
  <c r="AC13" i="47"/>
  <c r="AB13" i="47"/>
  <c r="AA13" i="47"/>
  <c r="Z13" i="47"/>
  <c r="Y13" i="47"/>
  <c r="X13" i="47"/>
  <c r="W13" i="47"/>
  <c r="V13" i="47"/>
  <c r="Q13" i="47"/>
  <c r="P13" i="47"/>
  <c r="O13" i="47"/>
  <c r="N13" i="47"/>
  <c r="F6" i="47"/>
  <c r="F7" i="47"/>
  <c r="F8" i="47"/>
  <c r="F9" i="47"/>
  <c r="F13" i="47"/>
  <c r="J12" i="47"/>
  <c r="X10" i="47"/>
  <c r="N10" i="47"/>
  <c r="V9" i="47"/>
  <c r="X9" i="47"/>
  <c r="N9" i="47"/>
  <c r="H9" i="47"/>
  <c r="G9" i="47"/>
  <c r="AB8" i="47"/>
  <c r="Z8" i="47"/>
  <c r="X8" i="47"/>
  <c r="V8" i="47"/>
  <c r="N8" i="47"/>
  <c r="G8" i="47"/>
  <c r="AB6" i="47"/>
  <c r="N6" i="47"/>
  <c r="AB7" i="47"/>
  <c r="Z6" i="47"/>
  <c r="Z7" i="47"/>
  <c r="X6" i="47"/>
  <c r="X7" i="47"/>
  <c r="V6" i="47"/>
  <c r="V7" i="47"/>
  <c r="J7" i="47"/>
  <c r="H7" i="47"/>
  <c r="I7" i="47"/>
  <c r="G7" i="47"/>
  <c r="AS4" i="47"/>
  <c r="AS5" i="47"/>
  <c r="AG13" i="46"/>
  <c r="AF13" i="46"/>
  <c r="AE13" i="46"/>
  <c r="AD13" i="46"/>
  <c r="AC13" i="46"/>
  <c r="AB13" i="46"/>
  <c r="AA13" i="46"/>
  <c r="Z13" i="46"/>
  <c r="Y13" i="46"/>
  <c r="X13" i="46"/>
  <c r="W13" i="46"/>
  <c r="V13" i="46"/>
  <c r="Q13" i="46"/>
  <c r="P13" i="46"/>
  <c r="O13" i="46"/>
  <c r="N13" i="46"/>
  <c r="F6" i="46"/>
  <c r="F7" i="46"/>
  <c r="F8" i="46"/>
  <c r="F9" i="46"/>
  <c r="F13" i="46"/>
  <c r="J12" i="46"/>
  <c r="X10" i="46"/>
  <c r="N10" i="46"/>
  <c r="V9" i="46"/>
  <c r="X9" i="46"/>
  <c r="N9" i="46"/>
  <c r="H9" i="46"/>
  <c r="G9" i="46"/>
  <c r="AB8" i="46"/>
  <c r="Z8" i="46"/>
  <c r="X8" i="46"/>
  <c r="V8" i="46"/>
  <c r="N8" i="46"/>
  <c r="G8" i="46"/>
  <c r="AB6" i="46"/>
  <c r="N6" i="46"/>
  <c r="AB7" i="46"/>
  <c r="Z6" i="46"/>
  <c r="Z7" i="46"/>
  <c r="X6" i="46"/>
  <c r="X7" i="46"/>
  <c r="V6" i="46"/>
  <c r="V7" i="46"/>
  <c r="J7" i="46"/>
  <c r="H7" i="46"/>
  <c r="I7" i="46"/>
  <c r="G7" i="46"/>
  <c r="AS4" i="46"/>
  <c r="AS5" i="46"/>
  <c r="AG13" i="45"/>
  <c r="AF13" i="45"/>
  <c r="AE13" i="45"/>
  <c r="AD13" i="45"/>
  <c r="AC13" i="45"/>
  <c r="AB13" i="45"/>
  <c r="AA13" i="45"/>
  <c r="Z13" i="45"/>
  <c r="Y13" i="45"/>
  <c r="X13" i="45"/>
  <c r="W13" i="45"/>
  <c r="V13" i="45"/>
  <c r="Q13" i="45"/>
  <c r="P13" i="45"/>
  <c r="O13" i="45"/>
  <c r="N13" i="45"/>
  <c r="F6" i="45"/>
  <c r="F7" i="45"/>
  <c r="F8" i="45"/>
  <c r="F9" i="45"/>
  <c r="F13" i="45"/>
  <c r="J12" i="45"/>
  <c r="X10" i="45"/>
  <c r="N10" i="45"/>
  <c r="V9" i="45"/>
  <c r="X9" i="45"/>
  <c r="N9" i="45"/>
  <c r="H9" i="45"/>
  <c r="G9" i="45"/>
  <c r="AB8" i="45"/>
  <c r="Z8" i="45"/>
  <c r="X8" i="45"/>
  <c r="V8" i="45"/>
  <c r="N8" i="45"/>
  <c r="G8" i="45"/>
  <c r="AB6" i="45"/>
  <c r="N6" i="45"/>
  <c r="AB7" i="45"/>
  <c r="Z6" i="45"/>
  <c r="Z7" i="45"/>
  <c r="X6" i="45"/>
  <c r="X7" i="45"/>
  <c r="V6" i="45"/>
  <c r="V7" i="45"/>
  <c r="J7" i="45"/>
  <c r="H7" i="45"/>
  <c r="I7" i="45"/>
  <c r="G7" i="45"/>
  <c r="AS4" i="45"/>
  <c r="AS5" i="45"/>
  <c r="AG13" i="44"/>
  <c r="AF13" i="44"/>
  <c r="AE13" i="44"/>
  <c r="AD13" i="44"/>
  <c r="AC13" i="44"/>
  <c r="AB13" i="44"/>
  <c r="AA13" i="44"/>
  <c r="Z13" i="44"/>
  <c r="Y13" i="44"/>
  <c r="X13" i="44"/>
  <c r="W13" i="44"/>
  <c r="V13" i="44"/>
  <c r="Q13" i="44"/>
  <c r="P13" i="44"/>
  <c r="O13" i="44"/>
  <c r="N13" i="44"/>
  <c r="F6" i="44"/>
  <c r="F7" i="44"/>
  <c r="F8" i="44"/>
  <c r="F9" i="44"/>
  <c r="F13" i="44"/>
  <c r="J12" i="44"/>
  <c r="X10" i="44"/>
  <c r="N10" i="44"/>
  <c r="V9" i="44"/>
  <c r="X9" i="44"/>
  <c r="N9" i="44"/>
  <c r="H9" i="44"/>
  <c r="G9" i="44"/>
  <c r="AB8" i="44"/>
  <c r="Z8" i="44"/>
  <c r="X8" i="44"/>
  <c r="V8" i="44"/>
  <c r="N8" i="44"/>
  <c r="G8" i="44"/>
  <c r="AB6" i="44"/>
  <c r="N6" i="44"/>
  <c r="AB7" i="44"/>
  <c r="Z6" i="44"/>
  <c r="Z7" i="44"/>
  <c r="X6" i="44"/>
  <c r="X7" i="44"/>
  <c r="V6" i="44"/>
  <c r="V7" i="44"/>
  <c r="J7" i="44"/>
  <c r="H7" i="44"/>
  <c r="I7" i="44"/>
  <c r="G7" i="44"/>
  <c r="AS4" i="44"/>
  <c r="AS5" i="44"/>
  <c r="AG13" i="43"/>
  <c r="AF13" i="43"/>
  <c r="AE13" i="43"/>
  <c r="AD13" i="43"/>
  <c r="AC13" i="43"/>
  <c r="AB13" i="43"/>
  <c r="AA13" i="43"/>
  <c r="Z13" i="43"/>
  <c r="Y13" i="43"/>
  <c r="X13" i="43"/>
  <c r="W13" i="43"/>
  <c r="V13" i="43"/>
  <c r="Q13" i="43"/>
  <c r="P13" i="43"/>
  <c r="O13" i="43"/>
  <c r="N13" i="43"/>
  <c r="F6" i="43"/>
  <c r="F7" i="43"/>
  <c r="F8" i="43"/>
  <c r="F9" i="43"/>
  <c r="F13" i="43"/>
  <c r="J12" i="43"/>
  <c r="X10" i="43"/>
  <c r="N10" i="43"/>
  <c r="V9" i="43"/>
  <c r="X9" i="43"/>
  <c r="N9" i="43"/>
  <c r="H9" i="43"/>
  <c r="G9" i="43"/>
  <c r="AB8" i="43"/>
  <c r="Z8" i="43"/>
  <c r="X8" i="43"/>
  <c r="V8" i="43"/>
  <c r="N8" i="43"/>
  <c r="G8" i="43"/>
  <c r="AB6" i="43"/>
  <c r="N6" i="43"/>
  <c r="AB7" i="43"/>
  <c r="Z6" i="43"/>
  <c r="Z7" i="43"/>
  <c r="X6" i="43"/>
  <c r="X7" i="43"/>
  <c r="V6" i="43"/>
  <c r="V7" i="43"/>
  <c r="J7" i="43"/>
  <c r="H7" i="43"/>
  <c r="I7" i="43"/>
  <c r="G7" i="43"/>
  <c r="AS4" i="43"/>
  <c r="AS5" i="43"/>
  <c r="AG13" i="41"/>
  <c r="AF13" i="41"/>
  <c r="AE13" i="41"/>
  <c r="AD13" i="41"/>
  <c r="AC13" i="41"/>
  <c r="AB13" i="41"/>
  <c r="AA13" i="41"/>
  <c r="Z13" i="41"/>
  <c r="Y13" i="41"/>
  <c r="X13" i="41"/>
  <c r="W13" i="41"/>
  <c r="V13" i="41"/>
  <c r="Q13" i="41"/>
  <c r="P13" i="41"/>
  <c r="O13" i="41"/>
  <c r="N13" i="41"/>
  <c r="F6" i="41"/>
  <c r="F7" i="41"/>
  <c r="F8" i="41"/>
  <c r="F9" i="41"/>
  <c r="F13" i="41"/>
  <c r="J12" i="41"/>
  <c r="X10" i="41"/>
  <c r="N10" i="41"/>
  <c r="V9" i="41"/>
  <c r="X9" i="41"/>
  <c r="N9" i="41"/>
  <c r="H9" i="41"/>
  <c r="G9" i="41"/>
  <c r="AB8" i="41"/>
  <c r="Z8" i="41"/>
  <c r="X8" i="41"/>
  <c r="V8" i="41"/>
  <c r="N8" i="41"/>
  <c r="G8" i="41"/>
  <c r="AB6" i="41"/>
  <c r="N6" i="41"/>
  <c r="AB7" i="41"/>
  <c r="Z6" i="41"/>
  <c r="Z7" i="41"/>
  <c r="X6" i="41"/>
  <c r="X7" i="41"/>
  <c r="V6" i="41"/>
  <c r="V7" i="41"/>
  <c r="J7" i="41"/>
  <c r="H7" i="41"/>
  <c r="I7" i="41"/>
  <c r="G7" i="41"/>
  <c r="AS4" i="41"/>
  <c r="AS5" i="41"/>
  <c r="N8" i="34"/>
  <c r="F8" i="34"/>
  <c r="F6" i="34"/>
  <c r="F7" i="34"/>
  <c r="F9" i="34"/>
  <c r="F13" i="34"/>
  <c r="AG13" i="34"/>
  <c r="AF13" i="34"/>
  <c r="AE13" i="34"/>
  <c r="AD13" i="34"/>
  <c r="AC13" i="34"/>
  <c r="AB13" i="34"/>
  <c r="AA13" i="34"/>
  <c r="Z13" i="34"/>
  <c r="Y13" i="34"/>
  <c r="X13" i="34"/>
  <c r="W13" i="34"/>
  <c r="V13" i="34"/>
  <c r="Q13" i="34"/>
  <c r="P13" i="34"/>
  <c r="O13" i="34"/>
  <c r="N13" i="34"/>
  <c r="J12" i="34"/>
  <c r="X10" i="34"/>
  <c r="V9" i="34"/>
  <c r="X9" i="34"/>
  <c r="N10" i="34"/>
  <c r="H9" i="34"/>
  <c r="G9" i="34"/>
  <c r="AB8" i="34"/>
  <c r="Z8" i="34"/>
  <c r="X8" i="34"/>
  <c r="V8" i="34"/>
  <c r="N9" i="34"/>
  <c r="G8" i="34"/>
  <c r="AB6" i="34"/>
  <c r="N6" i="34"/>
  <c r="AB7" i="34"/>
  <c r="Z6" i="34"/>
  <c r="Z7" i="34"/>
  <c r="X6" i="34"/>
  <c r="X7" i="34"/>
  <c r="V6" i="34"/>
  <c r="V7" i="34"/>
  <c r="J7" i="34"/>
  <c r="H7" i="34"/>
  <c r="I7" i="34"/>
  <c r="G7" i="34"/>
  <c r="AS4" i="34"/>
  <c r="AS5" i="34"/>
</calcChain>
</file>

<file path=xl/sharedStrings.xml><?xml version="1.0" encoding="utf-8"?>
<sst xmlns="http://purl.oclc.org/ooxml/spreadsheetml/main" count="5514" uniqueCount="106">
  <si>
    <t>x/check</t>
  </si>
  <si>
    <t>LOSERS</t>
  </si>
  <si>
    <t>PERCENTAGE</t>
  </si>
  <si>
    <t>BREAKEVEN</t>
  </si>
  <si>
    <t>WINNERS</t>
  </si>
  <si>
    <t>IND</t>
  </si>
  <si>
    <t>COMM</t>
  </si>
  <si>
    <t>FX</t>
  </si>
  <si>
    <t>AVERAGE</t>
  </si>
  <si>
    <t>PERCENT</t>
  </si>
  <si>
    <t>TOTAL TRADES</t>
  </si>
  <si>
    <t>Entry &gt; 2ATR from Resistance / Support.</t>
  </si>
  <si>
    <t>BUT only if :</t>
  </si>
  <si>
    <t>S</t>
  </si>
  <si>
    <t>Short</t>
  </si>
  <si>
    <t>L</t>
  </si>
  <si>
    <t>Long</t>
  </si>
  <si>
    <t>Trade Direction:</t>
  </si>
  <si>
    <t>Index</t>
  </si>
  <si>
    <t>COM</t>
  </si>
  <si>
    <t>Commodities</t>
  </si>
  <si>
    <t>Currency</t>
  </si>
  <si>
    <t>RESULT</t>
  </si>
  <si>
    <t>EXIT</t>
  </si>
  <si>
    <t>DATE</t>
  </si>
  <si>
    <t xml:space="preserve">STOP </t>
  </si>
  <si>
    <t xml:space="preserve">ENTRY </t>
  </si>
  <si>
    <t>INST.</t>
  </si>
  <si>
    <t>L/S</t>
  </si>
  <si>
    <t>Inst</t>
  </si>
  <si>
    <t>No. of Rs</t>
  </si>
  <si>
    <t>Open</t>
  </si>
  <si>
    <t>Closed</t>
  </si>
  <si>
    <t>O</t>
  </si>
  <si>
    <t>C</t>
  </si>
  <si>
    <t>O/C</t>
  </si>
  <si>
    <t>Heat</t>
  </si>
  <si>
    <t>O / C Trades</t>
  </si>
  <si>
    <t>Length of 
Trade</t>
  </si>
  <si>
    <t>Win</t>
  </si>
  <si>
    <t>Loss</t>
  </si>
  <si>
    <t>Breakeven</t>
  </si>
  <si>
    <t>Average Hold Times</t>
  </si>
  <si>
    <t xml:space="preserve"> TR WIN</t>
  </si>
  <si>
    <t xml:space="preserve"> TR LOSS</t>
  </si>
  <si>
    <t>TR
(in Pips)</t>
  </si>
  <si>
    <t xml:space="preserve">Max Portfolio Risk is: </t>
  </si>
  <si>
    <t>GROUP PROFITS in TR</t>
  </si>
  <si>
    <t>DATE2</t>
  </si>
  <si>
    <t>Heat3</t>
  </si>
  <si>
    <t>Heat4</t>
  </si>
  <si>
    <t>Heat5</t>
  </si>
  <si>
    <t>TARGET</t>
  </si>
  <si>
    <t xml:space="preserve">Across </t>
  </si>
  <si>
    <t>Positions</t>
  </si>
  <si>
    <t xml:space="preserve">ENTRY PRICE </t>
  </si>
  <si>
    <t xml:space="preserve">INITIAL STOP </t>
  </si>
  <si>
    <t>EXIT DATE</t>
  </si>
  <si>
    <t xml:space="preserve">STOP/EXIT PRICE </t>
  </si>
  <si>
    <t>ENTRY DATE</t>
  </si>
  <si>
    <t>TOTAL PORTFOLIO RISK</t>
  </si>
  <si>
    <t>WIN/LOSS RATIO</t>
  </si>
  <si>
    <t>EXPECTANCY
ie Mean TR</t>
  </si>
  <si>
    <t>MARKET RISK</t>
  </si>
  <si>
    <t>Starting Capital</t>
  </si>
  <si>
    <t>Total Positions Open</t>
  </si>
  <si>
    <t>AATS H4 SYSTEM 2022</t>
  </si>
  <si>
    <t>Sheet Name</t>
  </si>
  <si>
    <t>Instrument</t>
  </si>
  <si>
    <t>BTCUSD</t>
  </si>
  <si>
    <t>AUDJPY</t>
  </si>
  <si>
    <t>ETHUSD</t>
  </si>
  <si>
    <t>AUDUSD</t>
  </si>
  <si>
    <t>CRYPTO</t>
  </si>
  <si>
    <t>GBPJPY</t>
  </si>
  <si>
    <t>Cryptocurrency</t>
  </si>
  <si>
    <t>Instrument Type:</t>
  </si>
  <si>
    <t>XAUUSD</t>
  </si>
  <si>
    <t>XAGUSD</t>
  </si>
  <si>
    <t>ASX200</t>
  </si>
  <si>
    <t>GER30</t>
  </si>
  <si>
    <t>NDX100</t>
  </si>
  <si>
    <t>SPX500</t>
  </si>
  <si>
    <t>UK100</t>
  </si>
  <si>
    <t>US30</t>
  </si>
  <si>
    <t>EURAUD</t>
  </si>
  <si>
    <t>EURGBP</t>
  </si>
  <si>
    <t>EURJPY</t>
  </si>
  <si>
    <t>EURUSD</t>
  </si>
  <si>
    <t>GBPAUD</t>
  </si>
  <si>
    <t>GBPUSD</t>
  </si>
  <si>
    <t>USDJPY</t>
  </si>
  <si>
    <t>Heat6</t>
  </si>
  <si>
    <t>Equity</t>
  </si>
  <si>
    <t>Drawdown</t>
  </si>
  <si>
    <t>Maximum DrawDown:</t>
  </si>
  <si>
    <t>Equity Peak</t>
  </si>
  <si>
    <t>USOUSD</t>
  </si>
  <si>
    <t>Initial Losing Trade</t>
  </si>
  <si>
    <t>Current DrawDown:</t>
  </si>
  <si>
    <t>Total Profits in R:</t>
  </si>
  <si>
    <t>Capital at End:</t>
  </si>
  <si>
    <t>GBP/JPY</t>
  </si>
  <si>
    <t>USD/JPY</t>
  </si>
  <si>
    <t>AATS M15 FX 2021 Fixed Risk</t>
  </si>
  <si>
    <t>AATS M15 FX 2021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</si>
</sst>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;[Red]\-&quot;$&quot;#,##0"/>
    <numFmt numFmtId="165" formatCode="#,##0.00_ ;[Red]\-#,##0.00\ "/>
    <numFmt numFmtId="166" formatCode="0.0%"/>
    <numFmt numFmtId="167" formatCode="#,##0.0000_ ;[Red]\-#,##0.0000\ "/>
    <numFmt numFmtId="168" formatCode="#,##0.0_ ;[Red]\-#,##0.0\ "/>
    <numFmt numFmtId="169" formatCode="#,##0_ ;[Red]\-#,##0\ "/>
    <numFmt numFmtId="170" formatCode="#,##0.000_ ;[Red]\-#,##0.000\ "/>
  </numFmts>
  <fonts count="35" x14ac:knownFonts="1">
    <font>
      <sz val="10"/>
      <name val="Verdana"/>
    </font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sz val="20"/>
      <name val="Gill Sans MT"/>
      <family val="2"/>
    </font>
    <font>
      <b/>
      <sz val="10"/>
      <color rgb="FFFF0000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10"/>
      <color rgb="FFFF0000"/>
      <name val="Gill Sans MT"/>
      <family val="2"/>
    </font>
    <font>
      <b/>
      <sz val="9"/>
      <color rgb="FFFF0000"/>
      <name val="Gill Sans MT"/>
      <family val="2"/>
    </font>
    <font>
      <i/>
      <sz val="10"/>
      <name val="Gill Sans MT"/>
      <family val="2"/>
    </font>
    <font>
      <b/>
      <i/>
      <sz val="10"/>
      <name val="Gill Sans MT"/>
      <family val="2"/>
    </font>
    <font>
      <b/>
      <sz val="10"/>
      <color theme="0" tint="-4.9989318521683403E-2"/>
      <name val="Gill Sans MT"/>
      <family val="2"/>
    </font>
    <font>
      <b/>
      <i/>
      <sz val="10"/>
      <color theme="1"/>
      <name val="Gill Sans MT"/>
      <family val="2"/>
    </font>
    <font>
      <b/>
      <i/>
      <sz val="10"/>
      <color theme="0"/>
      <name val="Gill Sans MT"/>
      <family val="2"/>
    </font>
    <font>
      <b/>
      <sz val="7"/>
      <name val="Gill Sans MT"/>
      <family val="2"/>
    </font>
    <font>
      <sz val="10"/>
      <color theme="1"/>
      <name val="Gill Sans MT"/>
      <family val="2"/>
    </font>
    <font>
      <b/>
      <sz val="12"/>
      <name val="Gill Sans MT"/>
      <family val="2"/>
    </font>
    <font>
      <b/>
      <sz val="12"/>
      <color rgb="FFFF0000"/>
      <name val="Gill Sans MT"/>
      <family val="2"/>
    </font>
    <font>
      <b/>
      <i/>
      <sz val="9"/>
      <color theme="1"/>
      <name val="Gill Sans MT"/>
      <family val="2"/>
    </font>
    <font>
      <b/>
      <i/>
      <sz val="9"/>
      <name val="Gill Sans MT"/>
      <family val="2"/>
    </font>
    <font>
      <sz val="12"/>
      <color theme="1"/>
      <name val="Calibri"/>
      <family val="2"/>
      <scheme val="minor"/>
    </font>
    <font>
      <b/>
      <sz val="10"/>
      <color theme="0"/>
      <name val="Gill Sans MT"/>
      <family val="2"/>
    </font>
    <font>
      <sz val="10"/>
      <color theme="0"/>
      <name val="Gill Sans MT"/>
      <family val="2"/>
    </font>
    <font>
      <b/>
      <sz val="20"/>
      <color theme="0"/>
      <name val="Gill Sans MT"/>
      <family val="2"/>
    </font>
    <font>
      <b/>
      <sz val="9"/>
      <color theme="0"/>
      <name val="Gill Sans MT"/>
      <family val="2"/>
    </font>
    <font>
      <sz val="9"/>
      <color theme="0"/>
      <name val="Gill Sans MT"/>
      <family val="2"/>
    </font>
    <font>
      <i/>
      <sz val="10"/>
      <color theme="0"/>
      <name val="Gill Sans MT"/>
      <family val="2"/>
    </font>
    <font>
      <i/>
      <sz val="9"/>
      <color theme="0"/>
      <name val="Gill Sans MT"/>
      <family val="2"/>
    </font>
    <font>
      <sz val="10"/>
      <name val="Gill Sans MT"/>
      <family val="2"/>
    </font>
    <font>
      <sz val="10"/>
      <color theme="1"/>
      <name val="Gill Sans MT"/>
      <family val="2"/>
    </font>
    <font>
      <sz val="10"/>
      <color theme="0"/>
      <name val="Gill Sans MT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FE"/>
        <bgColor indexed="64"/>
      </patternFill>
    </fill>
  </fills>
  <borders count="36">
    <border>
      <start/>
      <end/>
      <top/>
      <bottom/>
      <diagonal/>
    </border>
    <border>
      <start/>
      <end style="thin">
        <color auto="1"/>
      </end>
      <top/>
      <bottom/>
      <diagonal/>
    </border>
    <border>
      <start style="thin">
        <color auto="1"/>
      </start>
      <end style="thin">
        <color auto="1"/>
      </end>
      <top/>
      <bottom/>
      <diagonal/>
    </border>
    <border>
      <start style="thin">
        <color auto="1"/>
      </start>
      <end/>
      <top/>
      <bottom/>
      <diagonal/>
    </border>
    <border>
      <start style="medium">
        <color auto="1"/>
      </start>
      <end style="thin">
        <color auto="1"/>
      </end>
      <top style="medium">
        <color auto="1"/>
      </top>
      <bottom style="medium">
        <color auto="1"/>
      </bottom>
      <diagonal/>
    </border>
    <border>
      <start/>
      <end/>
      <top style="medium">
        <color auto="1"/>
      </top>
      <bottom style="medium">
        <color auto="1"/>
      </bottom>
      <diagonal/>
    </border>
    <border>
      <start style="thin">
        <color auto="1"/>
      </start>
      <end style="thin">
        <color auto="1"/>
      </end>
      <top style="medium">
        <color auto="1"/>
      </top>
      <bottom style="medium">
        <color auto="1"/>
      </bottom>
      <diagonal/>
    </border>
    <border>
      <start style="thin">
        <color auto="1"/>
      </start>
      <end style="medium">
        <color auto="1"/>
      </end>
      <top style="medium">
        <color auto="1"/>
      </top>
      <bottom style="medium">
        <color auto="1"/>
      </bottom>
      <diagonal/>
    </border>
    <border>
      <start style="medium">
        <color auto="1"/>
      </start>
      <end/>
      <top style="medium">
        <color auto="1"/>
      </top>
      <bottom style="medium">
        <color auto="1"/>
      </bottom>
      <diagonal/>
    </border>
    <border>
      <start/>
      <end style="medium">
        <color auto="1"/>
      </end>
      <top style="medium">
        <color auto="1"/>
      </top>
      <bottom style="medium">
        <color auto="1"/>
      </bottom>
      <diagonal/>
    </border>
    <border>
      <start style="thin">
        <color auto="1"/>
      </start>
      <end style="thin">
        <color theme="0"/>
      </end>
      <top style="medium">
        <color auto="1"/>
      </top>
      <bottom style="medium">
        <color auto="1"/>
      </bottom>
      <diagonal/>
    </border>
    <border>
      <start/>
      <end style="medium">
        <color auto="1"/>
      </end>
      <top/>
      <bottom style="medium">
        <color auto="1"/>
      </bottom>
      <diagonal/>
    </border>
    <border>
      <start style="medium">
        <color auto="1"/>
      </start>
      <end/>
      <top/>
      <bottom style="medium">
        <color auto="1"/>
      </bottom>
      <diagonal/>
    </border>
    <border>
      <start/>
      <end/>
      <top/>
      <bottom style="medium">
        <color auto="1"/>
      </bottom>
      <diagonal/>
    </border>
    <border>
      <start style="medium">
        <color auto="1"/>
      </start>
      <end style="medium">
        <color auto="1"/>
      </end>
      <top style="medium">
        <color auto="1"/>
      </top>
      <bottom style="medium">
        <color auto="1"/>
      </bottom>
      <diagonal/>
    </border>
    <border>
      <start style="medium">
        <color auto="1"/>
      </start>
      <end/>
      <top style="medium">
        <color auto="1"/>
      </top>
      <bottom/>
      <diagonal/>
    </border>
    <border>
      <start/>
      <end/>
      <top style="medium">
        <color auto="1"/>
      </top>
      <bottom/>
      <diagonal/>
    </border>
    <border>
      <start/>
      <end style="medium">
        <color auto="1"/>
      </end>
      <top style="medium">
        <color auto="1"/>
      </top>
      <bottom/>
      <diagonal/>
    </border>
    <border>
      <start style="medium">
        <color auto="1"/>
      </start>
      <end/>
      <top/>
      <bottom/>
      <diagonal/>
    </border>
    <border>
      <start/>
      <end style="medium">
        <color auto="1"/>
      </end>
      <top/>
      <bottom/>
      <diagonal/>
    </border>
    <border>
      <start style="medium">
        <color auto="1"/>
      </start>
      <end style="medium">
        <color auto="1"/>
      </end>
      <top style="medium">
        <color auto="1"/>
      </top>
      <bottom/>
      <diagonal/>
    </border>
    <border>
      <start style="medium">
        <color auto="1"/>
      </start>
      <end style="medium">
        <color auto="1"/>
      </end>
      <top/>
      <bottom/>
      <diagonal/>
    </border>
    <border>
      <start style="medium">
        <color auto="1"/>
      </start>
      <end style="medium">
        <color auto="1"/>
      </end>
      <top/>
      <bottom style="medium">
        <color auto="1"/>
      </bottom>
      <diagonal/>
    </border>
    <border>
      <start/>
      <end style="thin">
        <color auto="1"/>
      </end>
      <top style="medium">
        <color auto="1"/>
      </top>
      <bottom style="medium">
        <color auto="1"/>
      </bottom>
      <diagonal/>
    </border>
    <border>
      <start style="medium">
        <color auto="1"/>
      </start>
      <end style="thin">
        <color auto="1"/>
      </end>
      <top/>
      <bottom/>
      <diagonal/>
    </border>
    <border>
      <start style="thin">
        <color auto="1"/>
      </start>
      <end style="medium">
        <color auto="1"/>
      </end>
      <top/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theme="0"/>
      </end>
      <top style="medium">
        <color indexed="64"/>
      </top>
      <bottom style="medium">
        <color indexed="64"/>
      </bottom>
      <diagonal/>
    </border>
    <border>
      <start style="thin">
        <color auto="1"/>
      </start>
      <end/>
      <top style="medium">
        <color auto="1"/>
      </top>
      <bottom style="medium">
        <color auto="1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4" fillId="0" borderId="0"/>
  </cellStyleXfs>
  <cellXfs count="210">
    <xf numFmtId="0" fontId="0" fillId="0" borderId="0" xfId="0"/>
    <xf numFmtId="0" fontId="4" fillId="17" borderId="0" xfId="0" applyFont="1" applyFill="1" applyAlignment="1">
      <alignment vertical="center"/>
    </xf>
    <xf numFmtId="165" fontId="4" fillId="17" borderId="0" xfId="0" applyNumberFormat="1" applyFont="1" applyFill="1" applyAlignment="1">
      <alignment vertical="center"/>
    </xf>
    <xf numFmtId="0" fontId="4" fillId="17" borderId="0" xfId="0" applyFont="1" applyFill="1"/>
    <xf numFmtId="0" fontId="9" fillId="11" borderId="8" xfId="0" applyFont="1" applyFill="1" applyBorder="1" applyAlignment="1">
      <alignment vertical="center"/>
    </xf>
    <xf numFmtId="0" fontId="9" fillId="11" borderId="5" xfId="0" applyFont="1" applyFill="1" applyBorder="1" applyAlignment="1">
      <alignment vertical="center"/>
    </xf>
    <xf numFmtId="0" fontId="9" fillId="11" borderId="9" xfId="0" applyFont="1" applyFill="1" applyBorder="1" applyAlignment="1">
      <alignment vertical="center"/>
    </xf>
    <xf numFmtId="0" fontId="10" fillId="11" borderId="15" xfId="0" applyFont="1" applyFill="1" applyBorder="1"/>
    <xf numFmtId="0" fontId="10" fillId="11" borderId="16" xfId="0" applyFont="1" applyFill="1" applyBorder="1"/>
    <xf numFmtId="0" fontId="10" fillId="11" borderId="17" xfId="0" applyFont="1" applyFill="1" applyBorder="1"/>
    <xf numFmtId="0" fontId="9" fillId="17" borderId="0" xfId="0" applyFont="1" applyFill="1" applyAlignment="1">
      <alignment horizontal="center"/>
    </xf>
    <xf numFmtId="0" fontId="10" fillId="11" borderId="18" xfId="0" applyFont="1" applyFill="1" applyBorder="1"/>
    <xf numFmtId="0" fontId="10" fillId="11" borderId="0" xfId="0" applyFont="1" applyFill="1"/>
    <xf numFmtId="0" fontId="10" fillId="11" borderId="19" xfId="0" applyFont="1" applyFill="1" applyBorder="1"/>
    <xf numFmtId="1" fontId="11" fillId="11" borderId="14" xfId="0" applyNumberFormat="1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165" fontId="5" fillId="11" borderId="0" xfId="0" applyNumberFormat="1" applyFont="1" applyFill="1"/>
    <xf numFmtId="165" fontId="11" fillId="11" borderId="20" xfId="0" applyNumberFormat="1" applyFont="1" applyFill="1" applyBorder="1" applyAlignment="1">
      <alignment horizontal="center" vertical="center"/>
    </xf>
    <xf numFmtId="0" fontId="4" fillId="11" borderId="14" xfId="0" applyFont="1" applyFill="1" applyBorder="1"/>
    <xf numFmtId="0" fontId="8" fillId="11" borderId="16" xfId="0" applyFont="1" applyFill="1" applyBorder="1"/>
    <xf numFmtId="0" fontId="10" fillId="11" borderId="12" xfId="0" applyFont="1" applyFill="1" applyBorder="1"/>
    <xf numFmtId="0" fontId="10" fillId="11" borderId="13" xfId="0" applyFont="1" applyFill="1" applyBorder="1"/>
    <xf numFmtId="0" fontId="10" fillId="11" borderId="11" xfId="0" applyFont="1" applyFill="1" applyBorder="1"/>
    <xf numFmtId="1" fontId="11" fillId="11" borderId="21" xfId="0" applyNumberFormat="1" applyFont="1" applyFill="1" applyBorder="1" applyAlignment="1">
      <alignment horizontal="center"/>
    </xf>
    <xf numFmtId="166" fontId="11" fillId="11" borderId="21" xfId="1" applyNumberFormat="1" applyFont="1" applyFill="1" applyBorder="1" applyAlignment="1" applyProtection="1">
      <alignment horizontal="center"/>
    </xf>
    <xf numFmtId="165" fontId="5" fillId="17" borderId="0" xfId="0" applyNumberFormat="1" applyFont="1" applyFill="1"/>
    <xf numFmtId="166" fontId="11" fillId="11" borderId="21" xfId="1" applyNumberFormat="1" applyFont="1" applyFill="1" applyBorder="1" applyAlignment="1" applyProtection="1">
      <alignment horizontal="center" vertical="center"/>
    </xf>
    <xf numFmtId="0" fontId="5" fillId="11" borderId="16" xfId="0" applyFont="1" applyFill="1" applyBorder="1"/>
    <xf numFmtId="0" fontId="8" fillId="11" borderId="0" xfId="0" applyFont="1" applyFill="1"/>
    <xf numFmtId="165" fontId="5" fillId="11" borderId="21" xfId="0" applyNumberFormat="1" applyFont="1" applyFill="1" applyBorder="1" applyAlignment="1">
      <alignment horizontal="center" vertical="center"/>
    </xf>
    <xf numFmtId="0" fontId="5" fillId="11" borderId="0" xfId="0" applyFont="1" applyFill="1"/>
    <xf numFmtId="1" fontId="11" fillId="11" borderId="22" xfId="0" applyNumberFormat="1" applyFont="1" applyFill="1" applyBorder="1" applyAlignment="1">
      <alignment horizontal="center"/>
    </xf>
    <xf numFmtId="166" fontId="11" fillId="11" borderId="22" xfId="0" applyNumberFormat="1" applyFont="1" applyFill="1" applyBorder="1" applyAlignment="1">
      <alignment horizontal="center"/>
    </xf>
    <xf numFmtId="165" fontId="5" fillId="11" borderId="22" xfId="0" applyNumberFormat="1" applyFont="1" applyFill="1" applyBorder="1" applyAlignment="1">
      <alignment horizontal="center" vertical="center"/>
    </xf>
    <xf numFmtId="165" fontId="5" fillId="11" borderId="8" xfId="0" applyNumberFormat="1" applyFont="1" applyFill="1" applyBorder="1" applyAlignment="1">
      <alignment horizontal="center" vertical="center"/>
    </xf>
    <xf numFmtId="165" fontId="5" fillId="11" borderId="5" xfId="0" applyNumberFormat="1" applyFont="1" applyFill="1" applyBorder="1" applyAlignment="1">
      <alignment horizontal="center" vertical="center"/>
    </xf>
    <xf numFmtId="165" fontId="5" fillId="11" borderId="9" xfId="0" applyNumberFormat="1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10" fillId="11" borderId="9" xfId="0" applyFont="1" applyFill="1" applyBorder="1" applyAlignment="1">
      <alignment horizontal="center"/>
    </xf>
    <xf numFmtId="165" fontId="5" fillId="17" borderId="0" xfId="0" applyNumberFormat="1" applyFont="1" applyFill="1" applyAlignment="1">
      <alignment horizontal="right"/>
    </xf>
    <xf numFmtId="165" fontId="15" fillId="11" borderId="0" xfId="0" applyNumberFormat="1" applyFont="1" applyFill="1" applyAlignment="1">
      <alignment horizontal="left"/>
    </xf>
    <xf numFmtId="167" fontId="17" fillId="8" borderId="6" xfId="0" applyNumberFormat="1" applyFont="1" applyFill="1" applyBorder="1"/>
    <xf numFmtId="168" fontId="16" fillId="3" borderId="10" xfId="0" applyNumberFormat="1" applyFont="1" applyFill="1" applyBorder="1" applyAlignment="1">
      <alignment horizontal="center" vertical="center"/>
    </xf>
    <xf numFmtId="167" fontId="16" fillId="2" borderId="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 wrapText="1"/>
    </xf>
    <xf numFmtId="165" fontId="18" fillId="0" borderId="6" xfId="0" applyNumberFormat="1" applyFont="1" applyBorder="1" applyAlignment="1">
      <alignment horizontal="center" vertical="center" wrapText="1"/>
    </xf>
    <xf numFmtId="165" fontId="18" fillId="0" borderId="6" xfId="0" applyNumberFormat="1" applyFont="1" applyBorder="1" applyAlignment="1">
      <alignment horizontal="center" vertical="center"/>
    </xf>
    <xf numFmtId="165" fontId="18" fillId="0" borderId="7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165" fontId="5" fillId="5" borderId="2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5" fontId="18" fillId="2" borderId="2" xfId="0" applyNumberFormat="1" applyFont="1" applyFill="1" applyBorder="1" applyAlignment="1">
      <alignment horizontal="center" vertical="center"/>
    </xf>
    <xf numFmtId="165" fontId="18" fillId="9" borderId="2" xfId="0" applyNumberFormat="1" applyFont="1" applyFill="1" applyBorder="1" applyAlignment="1">
      <alignment horizontal="center" vertical="center" wrapText="1"/>
    </xf>
    <xf numFmtId="165" fontId="18" fillId="9" borderId="2" xfId="0" applyNumberFormat="1" applyFont="1" applyFill="1" applyBorder="1" applyAlignment="1">
      <alignment horizontal="center" vertical="center"/>
    </xf>
    <xf numFmtId="165" fontId="18" fillId="9" borderId="25" xfId="0" applyNumberFormat="1" applyFont="1" applyFill="1" applyBorder="1" applyAlignment="1">
      <alignment horizontal="center" vertical="center"/>
    </xf>
    <xf numFmtId="167" fontId="16" fillId="4" borderId="32" xfId="0" applyNumberFormat="1" applyFont="1" applyFill="1" applyBorder="1" applyAlignment="1">
      <alignment horizontal="center" vertical="center"/>
    </xf>
    <xf numFmtId="169" fontId="5" fillId="9" borderId="6" xfId="0" applyNumberFormat="1" applyFont="1" applyFill="1" applyBorder="1" applyAlignment="1">
      <alignment horizontal="center" vertical="center"/>
    </xf>
    <xf numFmtId="169" fontId="5" fillId="9" borderId="7" xfId="0" applyNumberFormat="1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 wrapText="1"/>
    </xf>
    <xf numFmtId="165" fontId="11" fillId="11" borderId="21" xfId="0" applyNumberFormat="1" applyFont="1" applyFill="1" applyBorder="1" applyAlignment="1">
      <alignment horizontal="center"/>
    </xf>
    <xf numFmtId="165" fontId="11" fillId="11" borderId="22" xfId="0" applyNumberFormat="1" applyFont="1" applyFill="1" applyBorder="1" applyAlignment="1">
      <alignment horizontal="center"/>
    </xf>
    <xf numFmtId="168" fontId="5" fillId="14" borderId="7" xfId="0" applyNumberFormat="1" applyFont="1" applyFill="1" applyBorder="1" applyAlignment="1" applyProtection="1">
      <alignment horizontal="center"/>
      <protection locked="0"/>
    </xf>
    <xf numFmtId="164" fontId="22" fillId="9" borderId="6" xfId="50" applyNumberFormat="1" applyFont="1" applyFill="1" applyBorder="1" applyAlignment="1" applyProtection="1">
      <alignment horizontal="center" vertical="center"/>
      <protection locked="0"/>
    </xf>
    <xf numFmtId="0" fontId="5" fillId="18" borderId="7" xfId="0" applyFont="1" applyFill="1" applyBorder="1" applyAlignment="1">
      <alignment horizontal="center" vertical="center"/>
    </xf>
    <xf numFmtId="0" fontId="24" fillId="0" borderId="0" xfId="51" applyAlignment="1">
      <alignment horizontal="center"/>
    </xf>
    <xf numFmtId="165" fontId="11" fillId="11" borderId="18" xfId="0" applyNumberFormat="1" applyFont="1" applyFill="1" applyBorder="1" applyAlignment="1">
      <alignment horizontal="center" vertical="center"/>
    </xf>
    <xf numFmtId="166" fontId="11" fillId="11" borderId="18" xfId="1" applyNumberFormat="1" applyFont="1" applyFill="1" applyBorder="1" applyAlignment="1" applyProtection="1">
      <alignment horizontal="center" vertical="center"/>
    </xf>
    <xf numFmtId="165" fontId="5" fillId="11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165" fontId="4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8" fontId="16" fillId="3" borderId="33" xfId="0" applyNumberFormat="1" applyFont="1" applyFill="1" applyBorder="1" applyAlignment="1">
      <alignment horizontal="center" vertical="center"/>
    </xf>
    <xf numFmtId="169" fontId="16" fillId="3" borderId="33" xfId="0" applyNumberFormat="1" applyFont="1" applyFill="1" applyBorder="1" applyAlignment="1">
      <alignment horizontal="center" vertical="center"/>
    </xf>
    <xf numFmtId="169" fontId="5" fillId="0" borderId="7" xfId="0" applyNumberFormat="1" applyFont="1" applyBorder="1" applyAlignment="1">
      <alignment horizontal="center" vertical="center"/>
    </xf>
    <xf numFmtId="169" fontId="5" fillId="3" borderId="2" xfId="0" applyNumberFormat="1" applyFont="1" applyFill="1" applyBorder="1" applyAlignment="1">
      <alignment horizontal="center" vertical="center"/>
    </xf>
    <xf numFmtId="169" fontId="4" fillId="0" borderId="0" xfId="0" applyNumberFormat="1" applyFont="1"/>
    <xf numFmtId="165" fontId="5" fillId="0" borderId="7" xfId="0" applyNumberFormat="1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0" fontId="16" fillId="3" borderId="33" xfId="0" applyNumberFormat="1" applyFont="1" applyFill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10" fontId="5" fillId="3" borderId="2" xfId="0" applyNumberFormat="1" applyFont="1" applyFill="1" applyBorder="1" applyAlignment="1">
      <alignment horizontal="center" vertical="center"/>
    </xf>
    <xf numFmtId="10" fontId="4" fillId="0" borderId="0" xfId="0" applyNumberFormat="1" applyFont="1"/>
    <xf numFmtId="10" fontId="5" fillId="16" borderId="30" xfId="0" applyNumberFormat="1" applyFont="1" applyFill="1" applyBorder="1" applyAlignment="1">
      <alignment horizontal="center" vertical="center"/>
    </xf>
    <xf numFmtId="169" fontId="5" fillId="0" borderId="5" xfId="0" applyNumberFormat="1" applyFont="1" applyBorder="1" applyAlignment="1">
      <alignment horizontal="center" vertical="center"/>
    </xf>
    <xf numFmtId="22" fontId="5" fillId="12" borderId="4" xfId="0" applyNumberFormat="1" applyFont="1" applyFill="1" applyBorder="1" applyAlignment="1">
      <alignment horizontal="center" vertical="center" wrapText="1"/>
    </xf>
    <xf numFmtId="22" fontId="5" fillId="0" borderId="0" xfId="0" applyNumberFormat="1" applyFont="1" applyAlignment="1">
      <alignment horizontal="center" vertical="center"/>
    </xf>
    <xf numFmtId="22" fontId="4" fillId="0" borderId="0" xfId="0" applyNumberFormat="1" applyFont="1"/>
    <xf numFmtId="22" fontId="9" fillId="11" borderId="8" xfId="0" applyNumberFormat="1" applyFont="1" applyFill="1" applyBorder="1" applyAlignment="1">
      <alignment vertical="center"/>
    </xf>
    <xf numFmtId="22" fontId="9" fillId="11" borderId="21" xfId="0" applyNumberFormat="1" applyFont="1" applyFill="1" applyBorder="1" applyAlignment="1">
      <alignment horizontal="right"/>
    </xf>
    <xf numFmtId="22" fontId="9" fillId="11" borderId="22" xfId="0" applyNumberFormat="1" applyFont="1" applyFill="1" applyBorder="1" applyAlignment="1">
      <alignment horizontal="right"/>
    </xf>
    <xf numFmtId="22" fontId="9" fillId="15" borderId="8" xfId="50" applyNumberFormat="1" applyFont="1" applyFill="1" applyBorder="1" applyAlignment="1">
      <alignment horizontal="center" vertical="center"/>
    </xf>
    <xf numFmtId="22" fontId="14" fillId="11" borderId="14" xfId="0" applyNumberFormat="1" applyFont="1" applyFill="1" applyBorder="1" applyAlignment="1">
      <alignment horizontal="right"/>
    </xf>
    <xf numFmtId="22" fontId="5" fillId="12" borderId="6" xfId="0" applyNumberFormat="1" applyFont="1" applyFill="1" applyBorder="1" applyAlignment="1">
      <alignment horizontal="center" vertical="center" wrapText="1"/>
    </xf>
    <xf numFmtId="22" fontId="5" fillId="0" borderId="3" xfId="0" applyNumberFormat="1" applyFont="1" applyBorder="1" applyAlignment="1">
      <alignment horizontal="center" vertical="center"/>
    </xf>
    <xf numFmtId="0" fontId="7" fillId="17" borderId="0" xfId="0" applyFont="1" applyFill="1" applyAlignment="1" applyProtection="1">
      <alignment vertical="center"/>
      <protection locked="0"/>
    </xf>
    <xf numFmtId="0" fontId="4" fillId="19" borderId="0" xfId="0" applyFont="1" applyFill="1" applyAlignment="1">
      <alignment vertical="center"/>
    </xf>
    <xf numFmtId="0" fontId="4" fillId="19" borderId="0" xfId="0" applyFont="1" applyFill="1"/>
    <xf numFmtId="0" fontId="4" fillId="19" borderId="0" xfId="0" applyFont="1" applyFill="1" applyAlignment="1">
      <alignment horizontal="center" vertical="center"/>
    </xf>
    <xf numFmtId="0" fontId="5" fillId="19" borderId="0" xfId="0" applyFont="1" applyFill="1" applyAlignment="1">
      <alignment vertical="center"/>
    </xf>
    <xf numFmtId="22" fontId="4" fillId="19" borderId="0" xfId="0" applyNumberFormat="1" applyFont="1" applyFill="1" applyAlignment="1">
      <alignment vertical="center"/>
    </xf>
    <xf numFmtId="165" fontId="6" fillId="19" borderId="0" xfId="0" applyNumberFormat="1" applyFont="1" applyFill="1" applyAlignment="1">
      <alignment horizontal="left" vertical="center"/>
    </xf>
    <xf numFmtId="165" fontId="4" fillId="19" borderId="0" xfId="0" applyNumberFormat="1" applyFont="1" applyFill="1" applyAlignment="1">
      <alignment vertical="center"/>
    </xf>
    <xf numFmtId="0" fontId="7" fillId="19" borderId="0" xfId="0" applyFont="1" applyFill="1" applyAlignment="1" applyProtection="1">
      <alignment vertical="center"/>
      <protection locked="0"/>
    </xf>
    <xf numFmtId="0" fontId="8" fillId="19" borderId="0" xfId="0" applyFont="1" applyFill="1" applyAlignment="1">
      <alignment horizontal="center" vertical="center"/>
    </xf>
    <xf numFmtId="0" fontId="8" fillId="19" borderId="0" xfId="0" applyFont="1" applyFill="1"/>
    <xf numFmtId="0" fontId="4" fillId="19" borderId="0" xfId="0" applyFont="1" applyFill="1" applyAlignment="1">
      <alignment horizontal="center"/>
    </xf>
    <xf numFmtId="22" fontId="4" fillId="19" borderId="0" xfId="0" applyNumberFormat="1" applyFont="1" applyFill="1"/>
    <xf numFmtId="22" fontId="13" fillId="19" borderId="0" xfId="0" applyNumberFormat="1" applyFont="1" applyFill="1" applyAlignment="1">
      <alignment horizontal="right"/>
    </xf>
    <xf numFmtId="0" fontId="6" fillId="19" borderId="0" xfId="0" applyFont="1" applyFill="1"/>
    <xf numFmtId="169" fontId="6" fillId="19" borderId="0" xfId="0" applyNumberFormat="1" applyFont="1" applyFill="1"/>
    <xf numFmtId="10" fontId="6" fillId="19" borderId="0" xfId="0" applyNumberFormat="1" applyFont="1" applyFill="1"/>
    <xf numFmtId="169" fontId="4" fillId="19" borderId="0" xfId="0" applyNumberFormat="1" applyFont="1" applyFill="1"/>
    <xf numFmtId="10" fontId="4" fillId="19" borderId="0" xfId="0" applyNumberFormat="1" applyFont="1" applyFill="1"/>
    <xf numFmtId="165" fontId="26" fillId="19" borderId="0" xfId="0" applyNumberFormat="1" applyFont="1" applyFill="1" applyAlignment="1">
      <alignment vertical="center"/>
    </xf>
    <xf numFmtId="169" fontId="26" fillId="19" borderId="0" xfId="0" applyNumberFormat="1" applyFont="1" applyFill="1" applyAlignment="1">
      <alignment vertical="center"/>
    </xf>
    <xf numFmtId="10" fontId="26" fillId="19" borderId="0" xfId="0" applyNumberFormat="1" applyFont="1" applyFill="1" applyAlignment="1">
      <alignment vertical="center"/>
    </xf>
    <xf numFmtId="0" fontId="27" fillId="19" borderId="0" xfId="0" applyFont="1" applyFill="1" applyAlignment="1" applyProtection="1">
      <alignment vertical="center"/>
      <protection locked="0"/>
    </xf>
    <xf numFmtId="0" fontId="27" fillId="19" borderId="0" xfId="0" applyFont="1" applyFill="1" applyAlignment="1" applyProtection="1">
      <alignment horizontal="left" vertical="center"/>
      <protection locked="0"/>
    </xf>
    <xf numFmtId="169" fontId="27" fillId="19" borderId="0" xfId="0" applyNumberFormat="1" applyFont="1" applyFill="1" applyAlignment="1">
      <alignment horizontal="left" vertical="center"/>
    </xf>
    <xf numFmtId="10" fontId="27" fillId="19" borderId="0" xfId="0" applyNumberFormat="1" applyFont="1" applyFill="1" applyAlignment="1">
      <alignment horizontal="left" vertical="center"/>
    </xf>
    <xf numFmtId="0" fontId="26" fillId="19" borderId="0" xfId="0" applyFont="1" applyFill="1"/>
    <xf numFmtId="0" fontId="28" fillId="19" borderId="0" xfId="0" applyFont="1" applyFill="1" applyAlignment="1">
      <alignment horizontal="right"/>
    </xf>
    <xf numFmtId="169" fontId="28" fillId="19" borderId="0" xfId="0" applyNumberFormat="1" applyFont="1" applyFill="1" applyAlignment="1">
      <alignment horizontal="right"/>
    </xf>
    <xf numFmtId="10" fontId="28" fillId="19" borderId="0" xfId="0" applyNumberFormat="1" applyFont="1" applyFill="1" applyAlignment="1">
      <alignment horizontal="right"/>
    </xf>
    <xf numFmtId="169" fontId="26" fillId="19" borderId="0" xfId="0" applyNumberFormat="1" applyFont="1" applyFill="1"/>
    <xf numFmtId="10" fontId="26" fillId="19" borderId="0" xfId="0" applyNumberFormat="1" applyFont="1" applyFill="1"/>
    <xf numFmtId="0" fontId="26" fillId="19" borderId="0" xfId="0" applyFont="1" applyFill="1" applyAlignment="1">
      <alignment vertical="center"/>
    </xf>
    <xf numFmtId="0" fontId="28" fillId="19" borderId="0" xfId="0" applyFont="1" applyFill="1" applyAlignment="1">
      <alignment horizontal="center"/>
    </xf>
    <xf numFmtId="0" fontId="29" fillId="19" borderId="0" xfId="0" applyFont="1" applyFill="1" applyAlignment="1">
      <alignment horizontal="center"/>
    </xf>
    <xf numFmtId="165" fontId="26" fillId="19" borderId="0" xfId="0" applyNumberFormat="1" applyFont="1" applyFill="1"/>
    <xf numFmtId="165" fontId="25" fillId="19" borderId="0" xfId="0" applyNumberFormat="1" applyFont="1" applyFill="1" applyAlignment="1">
      <alignment horizontal="right"/>
    </xf>
    <xf numFmtId="165" fontId="25" fillId="19" borderId="0" xfId="0" applyNumberFormat="1" applyFont="1" applyFill="1"/>
    <xf numFmtId="0" fontId="26" fillId="19" borderId="0" xfId="0" applyFont="1" applyFill="1" applyAlignment="1">
      <alignment horizontal="center"/>
    </xf>
    <xf numFmtId="0" fontId="5" fillId="19" borderId="0" xfId="0" applyFont="1" applyFill="1" applyAlignment="1">
      <alignment horizontal="center" vertical="center"/>
    </xf>
    <xf numFmtId="22" fontId="26" fillId="19" borderId="0" xfId="0" applyNumberFormat="1" applyFont="1" applyFill="1"/>
    <xf numFmtId="0" fontId="30" fillId="19" borderId="0" xfId="0" applyFont="1" applyFill="1"/>
    <xf numFmtId="0" fontId="31" fillId="19" borderId="0" xfId="0" applyFont="1" applyFill="1"/>
    <xf numFmtId="22" fontId="31" fillId="19" borderId="0" xfId="0" applyNumberFormat="1" applyFont="1" applyFill="1"/>
    <xf numFmtId="0" fontId="4" fillId="7" borderId="0" xfId="0" applyFont="1" applyFill="1" applyAlignment="1" applyProtection="1">
      <alignment horizontal="center" vertical="center" wrapText="1"/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0" fontId="19" fillId="10" borderId="0" xfId="0" applyFont="1" applyFill="1" applyAlignment="1">
      <alignment horizontal="center"/>
    </xf>
    <xf numFmtId="22" fontId="19" fillId="10" borderId="0" xfId="0" applyNumberFormat="1" applyFont="1" applyFill="1" applyAlignment="1" applyProtection="1">
      <alignment horizontal="center" vertical="center"/>
      <protection locked="0"/>
    </xf>
    <xf numFmtId="0" fontId="19" fillId="10" borderId="0" xfId="0" applyFont="1" applyFill="1" applyAlignment="1" applyProtection="1">
      <alignment horizontal="center"/>
      <protection locked="0"/>
    </xf>
    <xf numFmtId="0" fontId="19" fillId="10" borderId="0" xfId="0" applyFont="1" applyFill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center" vertical="center"/>
    </xf>
    <xf numFmtId="170" fontId="19" fillId="4" borderId="0" xfId="0" applyNumberFormat="1" applyFont="1" applyFill="1" applyAlignment="1">
      <alignment horizontal="center" vertical="center"/>
    </xf>
    <xf numFmtId="167" fontId="26" fillId="8" borderId="0" xfId="0" applyNumberFormat="1" applyFont="1" applyFill="1"/>
    <xf numFmtId="170" fontId="19" fillId="3" borderId="0" xfId="0" applyNumberFormat="1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10" fontId="19" fillId="3" borderId="0" xfId="0" applyNumberFormat="1" applyFont="1" applyFill="1" applyAlignment="1">
      <alignment horizontal="center" vertical="center"/>
    </xf>
    <xf numFmtId="167" fontId="19" fillId="2" borderId="0" xfId="0" applyNumberFormat="1" applyFont="1" applyFill="1" applyAlignment="1">
      <alignment horizontal="center" vertical="center"/>
    </xf>
    <xf numFmtId="169" fontId="19" fillId="9" borderId="0" xfId="0" applyNumberFormat="1" applyFont="1" applyFill="1" applyAlignment="1">
      <alignment horizontal="center" vertical="center"/>
    </xf>
    <xf numFmtId="164" fontId="20" fillId="16" borderId="30" xfId="0" applyNumberFormat="1" applyFont="1" applyFill="1" applyBorder="1" applyAlignment="1">
      <alignment horizontal="center" vertical="center"/>
    </xf>
    <xf numFmtId="0" fontId="32" fillId="7" borderId="0" xfId="0" applyFont="1" applyFill="1" applyAlignment="1" applyProtection="1">
      <alignment horizontal="center" vertical="center" wrapText="1"/>
      <protection locked="0"/>
    </xf>
    <xf numFmtId="0" fontId="32" fillId="7" borderId="0" xfId="0" applyFont="1" applyFill="1" applyAlignment="1" applyProtection="1">
      <alignment horizontal="center" vertical="center"/>
      <protection locked="0"/>
    </xf>
    <xf numFmtId="0" fontId="33" fillId="10" borderId="0" xfId="0" applyFont="1" applyFill="1" applyAlignment="1">
      <alignment horizontal="center"/>
    </xf>
    <xf numFmtId="22" fontId="33" fillId="10" borderId="0" xfId="0" applyNumberFormat="1" applyFont="1" applyFill="1" applyAlignment="1" applyProtection="1">
      <alignment horizontal="center" vertical="center"/>
      <protection locked="0"/>
    </xf>
    <xf numFmtId="0" fontId="33" fillId="10" borderId="0" xfId="0" applyFont="1" applyFill="1" applyAlignment="1" applyProtection="1">
      <alignment horizontal="center"/>
      <protection locked="0"/>
    </xf>
    <xf numFmtId="0" fontId="33" fillId="10" borderId="0" xfId="0" applyFont="1" applyFill="1" applyAlignment="1" applyProtection="1">
      <alignment horizontal="center" vertical="center"/>
      <protection locked="0"/>
    </xf>
    <xf numFmtId="0" fontId="33" fillId="6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170" fontId="33" fillId="4" borderId="0" xfId="0" applyNumberFormat="1" applyFont="1" applyFill="1" applyAlignment="1">
      <alignment horizontal="center" vertical="center"/>
    </xf>
    <xf numFmtId="167" fontId="34" fillId="8" borderId="0" xfId="0" applyNumberFormat="1" applyFont="1" applyFill="1"/>
    <xf numFmtId="170" fontId="33" fillId="3" borderId="0" xfId="0" applyNumberFormat="1" applyFont="1" applyFill="1" applyAlignment="1">
      <alignment horizontal="center" vertical="center"/>
    </xf>
    <xf numFmtId="169" fontId="33" fillId="3" borderId="0" xfId="0" applyNumberFormat="1" applyFont="1" applyFill="1" applyAlignment="1">
      <alignment horizontal="center" vertical="center"/>
    </xf>
    <xf numFmtId="10" fontId="33" fillId="3" borderId="0" xfId="0" applyNumberFormat="1" applyFont="1" applyFill="1" applyAlignment="1">
      <alignment horizontal="center" vertical="center"/>
    </xf>
    <xf numFmtId="167" fontId="33" fillId="2" borderId="0" xfId="0" applyNumberFormat="1" applyFont="1" applyFill="1" applyAlignment="1">
      <alignment horizontal="center" vertical="center"/>
    </xf>
    <xf numFmtId="169" fontId="33" fillId="9" borderId="0" xfId="0" applyNumberFormat="1" applyFont="1" applyFill="1" applyAlignment="1">
      <alignment horizontal="center" vertical="center"/>
    </xf>
    <xf numFmtId="0" fontId="27" fillId="19" borderId="0" xfId="0" applyFont="1" applyFill="1" applyAlignment="1" applyProtection="1">
      <alignment horizontal="left" vertical="center"/>
      <protection locked="0"/>
    </xf>
    <xf numFmtId="0" fontId="20" fillId="15" borderId="34" xfId="0" applyFont="1" applyFill="1" applyBorder="1" applyAlignment="1">
      <alignment horizontal="right" vertical="center"/>
    </xf>
    <xf numFmtId="0" fontId="20" fillId="15" borderId="35" xfId="0" applyFont="1" applyFill="1" applyBorder="1" applyAlignment="1">
      <alignment horizontal="right" vertical="center"/>
    </xf>
    <xf numFmtId="0" fontId="10" fillId="13" borderId="8" xfId="0" applyFont="1" applyFill="1" applyBorder="1" applyAlignment="1">
      <alignment horizontal="right"/>
    </xf>
    <xf numFmtId="0" fontId="10" fillId="13" borderId="23" xfId="0" applyFont="1" applyFill="1" applyBorder="1" applyAlignment="1">
      <alignment horizontal="right"/>
    </xf>
    <xf numFmtId="0" fontId="23" fillId="15" borderId="8" xfId="0" applyFont="1" applyFill="1" applyBorder="1" applyAlignment="1">
      <alignment horizontal="right"/>
    </xf>
    <xf numFmtId="0" fontId="23" fillId="15" borderId="23" xfId="0" applyFont="1" applyFill="1" applyBorder="1" applyAlignment="1">
      <alignment horizontal="right"/>
    </xf>
    <xf numFmtId="165" fontId="9" fillId="11" borderId="8" xfId="0" applyNumberFormat="1" applyFont="1" applyFill="1" applyBorder="1" applyAlignment="1">
      <alignment horizontal="center"/>
    </xf>
    <xf numFmtId="165" fontId="9" fillId="11" borderId="5" xfId="0" applyNumberFormat="1" applyFont="1" applyFill="1" applyBorder="1" applyAlignment="1">
      <alignment horizontal="center"/>
    </xf>
    <xf numFmtId="165" fontId="9" fillId="11" borderId="9" xfId="0" applyNumberFormat="1" applyFont="1" applyFill="1" applyBorder="1" applyAlignment="1">
      <alignment horizontal="center"/>
    </xf>
    <xf numFmtId="0" fontId="20" fillId="15" borderId="26" xfId="0" applyFont="1" applyFill="1" applyBorder="1" applyAlignment="1">
      <alignment horizontal="right" vertical="center"/>
    </xf>
    <xf numFmtId="0" fontId="20" fillId="15" borderId="27" xfId="0" applyFont="1" applyFill="1" applyBorder="1" applyAlignment="1">
      <alignment horizontal="right" vertical="center"/>
    </xf>
    <xf numFmtId="0" fontId="20" fillId="15" borderId="28" xfId="0" applyFont="1" applyFill="1" applyBorder="1" applyAlignment="1">
      <alignment horizontal="right" vertical="center"/>
    </xf>
    <xf numFmtId="0" fontId="20" fillId="15" borderId="29" xfId="0" applyFont="1" applyFill="1" applyBorder="1" applyAlignment="1">
      <alignment horizontal="right" vertical="center"/>
    </xf>
    <xf numFmtId="165" fontId="21" fillId="16" borderId="30" xfId="0" applyNumberFormat="1" applyFont="1" applyFill="1" applyBorder="1" applyAlignment="1">
      <alignment horizontal="center" vertical="center"/>
    </xf>
    <xf numFmtId="165" fontId="21" fillId="16" borderId="31" xfId="0" applyNumberFormat="1" applyFont="1" applyFill="1" applyBorder="1" applyAlignment="1">
      <alignment horizontal="center" vertical="center"/>
    </xf>
    <xf numFmtId="165" fontId="8" fillId="11" borderId="20" xfId="0" applyNumberFormat="1" applyFont="1" applyFill="1" applyBorder="1" applyAlignment="1">
      <alignment horizontal="center" vertical="center"/>
    </xf>
    <xf numFmtId="165" fontId="8" fillId="11" borderId="21" xfId="0" applyNumberFormat="1" applyFont="1" applyFill="1" applyBorder="1" applyAlignment="1">
      <alignment horizontal="center" vertical="center"/>
    </xf>
    <xf numFmtId="165" fontId="8" fillId="11" borderId="22" xfId="0" applyNumberFormat="1" applyFont="1" applyFill="1" applyBorder="1" applyAlignment="1">
      <alignment horizontal="center" vertical="center"/>
    </xf>
    <xf numFmtId="0" fontId="9" fillId="15" borderId="34" xfId="0" applyFont="1" applyFill="1" applyBorder="1" applyAlignment="1">
      <alignment horizontal="right" vertical="center"/>
    </xf>
    <xf numFmtId="0" fontId="9" fillId="15" borderId="35" xfId="0" applyFont="1" applyFill="1" applyBorder="1" applyAlignment="1">
      <alignment horizontal="right" vertical="center"/>
    </xf>
  </cellXfs>
  <cellStyles count="5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Normal" xfId="0" builtinId="0"/>
    <cellStyle name="Normal 2" xfId="50" xr:uid="{00000000-0005-0000-0000-000031000000}"/>
    <cellStyle name="Normal 3" xfId="51" xr:uid="{00000000-0005-0000-0000-000032000000}"/>
    <cellStyle name="Per cent" xfId="1" builtinId="5"/>
  </cellStyles>
  <dxfs count="3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start/>
        <end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start/>
        <end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start/>
        <end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start/>
        <end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start/>
        <end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start/>
        <end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start/>
        <end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7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9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7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1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start/>
        <end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mruColors>
      <color rgb="FF0000F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theme" Target="theme/theme1.xml"/><Relationship Id="rId5" Type="http://purl.oclc.org/ooxml/officeDocument/relationships/worksheet" Target="worksheets/sheet5.xml"/><Relationship Id="rId10" Type="http://purl.oclc.org/ooxml/officeDocument/relationships/worksheet" Target="worksheets/sheet10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1A7AD16D-A805-4D8D-A363-EE52F7C2E6B3}"/>
            </a:ext>
          </a:extLst>
        </xdr:cNvPr>
        <xdr:cNvSpPr/>
      </xdr:nvSpPr>
      <xdr:spPr>
        <a:xfrm>
          <a:off x="275386" y="1399761"/>
          <a:ext cx="1047749" cy="43993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%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35358F87-2936-4CCF-8525-C526E707D002}"/>
            </a:ext>
          </a:extLst>
        </xdr:cNvPr>
        <xdr:cNvSpPr/>
      </xdr:nvSpPr>
      <xdr:spPr>
        <a:xfrm>
          <a:off x="275386" y="1987064"/>
          <a:ext cx="104940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6C55E32F-FE66-413F-AED9-5FE9E959C5F0}"/>
            </a:ext>
          </a:extLst>
        </xdr:cNvPr>
        <xdr:cNvSpPr/>
      </xdr:nvSpPr>
      <xdr:spPr>
        <a:xfrm>
          <a:off x="275386" y="2465209"/>
          <a:ext cx="1053973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%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MasterData" textlink="">
      <xdr:nvSpPr>
        <xdr:cNvPr id="6" name="Rounded Rectangle 5">
          <a:extLst>
            <a:ext uri="{FF2B5EF4-FFF2-40B4-BE49-F238E27FC236}">
              <a16:creationId xmlns:a16="http://schemas.microsoft.com/office/drawing/2014/main" id="{FEDF81D1-EC9B-4BA3-B082-6CE8837F2352}"/>
            </a:ext>
          </a:extLst>
        </xdr:cNvPr>
        <xdr:cNvSpPr/>
      </xdr:nvSpPr>
      <xdr:spPr>
        <a:xfrm>
          <a:off x="1511577" y="1399762"/>
          <a:ext cx="1118151" cy="43589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%">
              <a:latin typeface="Gill Sans MT" panose="020B0502020104020203" pitchFamily="34" charset="0"/>
            </a:rPr>
            <a:t> MASTER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7" name="Rounded Rectangle 6">
          <a:extLst>
            <a:ext uri="{FF2B5EF4-FFF2-40B4-BE49-F238E27FC236}">
              <a16:creationId xmlns:a16="http://schemas.microsoft.com/office/drawing/2014/main" id="{EFF56A64-9680-4AE2-A1F0-C23D3D9CD7AF}"/>
            </a:ext>
          </a:extLst>
        </xdr:cNvPr>
        <xdr:cNvSpPr/>
      </xdr:nvSpPr>
      <xdr:spPr>
        <a:xfrm>
          <a:off x="1513234" y="1983025"/>
          <a:ext cx="111918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%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492816</xdr:colOff>
      <xdr:row>11</xdr:row>
      <xdr:rowOff>153228</xdr:rowOff>
    </xdr:from>
    <xdr:to>
      <xdr:col>3</xdr:col>
      <xdr:colOff>588064</xdr:colOff>
      <xdr:row>13</xdr:row>
      <xdr:rowOff>92169</xdr:rowOff>
    </xdr:to>
    <xdr:sp macro="[0]!RefreshMaster" textlink="">
      <xdr:nvSpPr>
        <xdr:cNvPr id="8" name="Rounded Rectangle 5">
          <a:extLst>
            <a:ext uri="{FF2B5EF4-FFF2-40B4-BE49-F238E27FC236}">
              <a16:creationId xmlns:a16="http://schemas.microsoft.com/office/drawing/2014/main" id="{B9E58715-C693-45E2-86DF-E1AA12FEA053}"/>
            </a:ext>
          </a:extLst>
        </xdr:cNvPr>
        <xdr:cNvSpPr/>
      </xdr:nvSpPr>
      <xdr:spPr>
        <a:xfrm>
          <a:off x="1519859" y="2476500"/>
          <a:ext cx="1118151" cy="319941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600" b="1">
              <a:latin typeface="Gill Sans MT" panose="020B0502020104020203" pitchFamily="34" charset="0"/>
            </a:rPr>
            <a:t>GET DATA FROM OTHER SHEETS</a:t>
          </a: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CE74E79-4188-5C1B-38A2-FCF5DB2340A6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269187" y="401707"/>
          <a:ext cx="2393673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%"/>
            </a:schemeClr>
          </a:glow>
        </a:effectLst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AB3D6066-272A-4037-B3BB-939A40075C1D}"/>
            </a:ext>
          </a:extLst>
        </xdr:cNvPr>
        <xdr:cNvSpPr/>
      </xdr:nvSpPr>
      <xdr:spPr>
        <a:xfrm>
          <a:off x="275386" y="1400589"/>
          <a:ext cx="1049406" cy="5399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%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87FAAD9B-C4D5-46D9-8407-F5D3A972046A}"/>
            </a:ext>
          </a:extLst>
        </xdr:cNvPr>
        <xdr:cNvSpPr/>
      </xdr:nvSpPr>
      <xdr:spPr>
        <a:xfrm>
          <a:off x="275386" y="2087077"/>
          <a:ext cx="104940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48EE2E74-D3AE-4052-8873-71A4F0DD8E6D}"/>
            </a:ext>
          </a:extLst>
        </xdr:cNvPr>
        <xdr:cNvSpPr/>
      </xdr:nvSpPr>
      <xdr:spPr>
        <a:xfrm>
          <a:off x="275386" y="2566050"/>
          <a:ext cx="1055630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%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9FF2AD5C-6AE4-4A1C-B2AD-4374CD77008F}"/>
            </a:ext>
          </a:extLst>
        </xdr:cNvPr>
        <xdr:cNvSpPr/>
      </xdr:nvSpPr>
      <xdr:spPr>
        <a:xfrm>
          <a:off x="1513234" y="1400590"/>
          <a:ext cx="1119186" cy="535909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%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444CD877-99FA-4CF4-8C32-BD16E19CB8B1}"/>
            </a:ext>
          </a:extLst>
        </xdr:cNvPr>
        <xdr:cNvSpPr/>
      </xdr:nvSpPr>
      <xdr:spPr>
        <a:xfrm>
          <a:off x="1513234" y="2083038"/>
          <a:ext cx="111918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%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A64BD15-29D9-4EC4-AAC3-B72CA8913718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269187" y="401707"/>
          <a:ext cx="2396365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%"/>
            </a:schemeClr>
          </a:glow>
        </a:effectLst>
      </xdr:spPr>
    </xdr:pic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F2C36310-1033-4774-9DFB-9B193A06DEB3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%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4A7597F5-7CB0-4025-8A49-A3879ED2F336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DC8B389F-7013-4BAA-991C-262F92D6BDAA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%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70CCB636-54D3-40B7-BF60-95D07AADC383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%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D674AFA7-65C2-46CB-BA87-C1E40C0DB319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%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A6E2B3D-E6E0-46CC-B4B8-EA9284DF486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%"/>
            </a:schemeClr>
          </a:glow>
        </a:effectLst>
      </xdr:spPr>
    </xdr:pic>
    <xdr:clientData/>
  </xdr:twoCellAnchor>
</xdr:wsDr>
</file>

<file path=xl/drawings/drawing4.xml><?xml version="1.0" encoding="utf-8"?>
<xdr:wsDr xmlns:xdr="http://purl.oclc.org/ooxml/drawingml/spreadsheetDrawing" xmlns:a="http://purl.oclc.org/ooxml/drawingml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8804817F-8729-4C43-8CFE-E18EA15C4C32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%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0B1779AB-CA72-4BA9-B311-82DCC652DC7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76424D6F-60EF-4AC3-8AB5-8A7D60CCFFE7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%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FCB1CDEB-22F7-4932-95A5-FF006AE46A09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%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85D17764-1BEA-42BE-9E0F-418A9B1A3085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%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43016F1-77EA-4C4D-A046-28EFA5F5495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%"/>
            </a:schemeClr>
          </a:glow>
        </a:effectLst>
      </xdr:spPr>
    </xdr:pic>
    <xdr:clientData/>
  </xdr:twoCellAnchor>
</xdr:wsDr>
</file>

<file path=xl/drawings/drawing5.xml><?xml version="1.0" encoding="utf-8"?>
<xdr:wsDr xmlns:xdr="http://purl.oclc.org/ooxml/drawingml/spreadsheetDrawing" xmlns:a="http://purl.oclc.org/ooxml/drawingml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3124F365-454D-4F05-828C-C3FA5F546317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%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68763FEF-6C73-42C4-8020-510782F55E7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D409A9A4-3C76-419A-A05D-C603AFB5224A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%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07AEB72B-6132-4241-9DCF-5816E298D88B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%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31739A89-3E58-4EF0-A00A-1CA0CDA9A2D8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%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044BA2-DA4D-4111-97C3-74494F76702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%"/>
            </a:schemeClr>
          </a:glow>
        </a:effectLst>
      </xdr:spPr>
    </xdr:pic>
    <xdr:clientData/>
  </xdr:twoCellAnchor>
</xdr:wsDr>
</file>

<file path=xl/drawings/drawing6.xml><?xml version="1.0" encoding="utf-8"?>
<xdr:wsDr xmlns:xdr="http://purl.oclc.org/ooxml/drawingml/spreadsheetDrawing" xmlns:a="http://purl.oclc.org/ooxml/drawingml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300BBCE4-89BB-47AA-BDC7-F830853B3D91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%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E00E2A0E-DEFF-4A56-8C80-31107C6B36B5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F84B6E97-303C-4197-BD78-4676768B8486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%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BC4F1717-6601-4D2B-B45C-DB1116783B43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%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0D4FDF61-B548-4C6D-8A5E-3F0070392329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%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5B4B49-42B6-4900-8ECD-738E8F406DAB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%"/>
            </a:schemeClr>
          </a:glow>
        </a:effectLst>
      </xdr:spPr>
    </xdr:pic>
    <xdr:clientData/>
  </xdr:twoCellAnchor>
</xdr:wsDr>
</file>

<file path=xl/drawings/drawing7.xml><?xml version="1.0" encoding="utf-8"?>
<xdr:wsDr xmlns:xdr="http://purl.oclc.org/ooxml/drawingml/spreadsheetDrawing" xmlns:a="http://purl.oclc.org/ooxml/drawingml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5E9CA216-1E92-47BD-8E70-746887222EAE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%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657103B7-DB55-4CFB-881B-436CAB55A1C6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8FE5758F-F5FE-4EAA-AA7D-B365015E9F52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%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BDEA2A89-06E9-44D9-8AF4-A964CA77C165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%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4FB38021-2E0A-4172-B678-E19A34031185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%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0ABCCF-C48F-49C1-ABBA-71D2AE8B26B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%"/>
            </a:schemeClr>
          </a:glow>
        </a:effectLst>
      </xdr:spPr>
    </xdr:pic>
    <xdr:clientData/>
  </xdr:twoCellAnchor>
</xdr:wsDr>
</file>

<file path=xl/drawings/drawing8.xml><?xml version="1.0" encoding="utf-8"?>
<xdr:wsDr xmlns:xdr="http://purl.oclc.org/ooxml/drawingml/spreadsheetDrawing" xmlns:a="http://purl.oclc.org/ooxml/drawingml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EAA3BD97-89A7-44E6-9DB4-B612F9C87978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%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DB920F1A-7D00-49D3-954F-ECE6ED88952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1B281AD6-68E4-47C7-AB74-4558C92530C4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%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E84EDFE0-6840-4F5C-84E6-CAE67E476544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%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C0CD5A8D-6B65-464E-A253-87ACEB256BE8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%"/>
            </a:schemeClr>
          </a:glow>
          <a:outerShdw blurRad="40000" dist="23000" dir="5400000" rotWithShape="0">
            <a:srgbClr val="000000">
              <a:alpha val="35%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%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EA33D22-6AA5-4147-A137-A08CDDEAC6AF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%"/>
            </a:schemeClr>
          </a:glow>
        </a:effectLst>
      </xdr:spPr>
    </xdr:pic>
    <xdr:clientData/>
  </xdr:twoCellAnchor>
</xdr:wsDr>
</file>

<file path=xl/tables/table1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2" xr:uid="{16ACA7A6-C7B2-44C8-8EED-B060291C5834}" name="Tabla33610673" displayName="Tabla33610673" ref="B16:AG777" totalsRowShown="0" headerRowDxfId="327" dataDxfId="326">
  <autoFilter ref="B16:AG777" xr:uid="{00000000-0009-0000-0100-000009000000}"/>
  <sortState xmlns:xlrd2="http://schemas.microsoft.com/office/spreadsheetml/2017/richdata2" ref="B17:AG777">
    <sortCondition descending="1" ref="D16:D777"/>
  </sortState>
  <tableColumns count="32">
    <tableColumn id="1" xr3:uid="{B15662EF-D0AC-434F-8B47-408F7FCCC37C}" name="Inst" dataDxfId="325"/>
    <tableColumn id="2" xr3:uid="{B919035C-AA92-4CD6-861E-3B9A656147B8}" name="L/S" dataDxfId="324"/>
    <tableColumn id="3" xr3:uid="{2F10A06D-FA54-48C7-8BC2-07EAE086A4D2}" name="O/C" dataDxfId="323">
      <calculatedColumnFormula>IF(E17&lt;&gt;"",IF(K17&lt;&gt;"","C","O"),"")</calculatedColumnFormula>
    </tableColumn>
    <tableColumn id="4" xr3:uid="{147AE279-32CE-43AA-BFEC-F45979B7E5D1}" name="DATE" dataDxfId="322"/>
    <tableColumn id="5" xr3:uid="{707AB2EE-BC12-485E-9041-EBD9803ACDA6}" name="INST." dataDxfId="321"/>
    <tableColumn id="6" xr3:uid="{3BBFD836-1046-434F-9B1C-5BFD15F3E89B}" name="ENTRY " dataDxfId="320"/>
    <tableColumn id="7" xr3:uid="{6C2E69DE-E47B-441E-AA57-89A5E08DC324}" name="STOP " dataDxfId="319"/>
    <tableColumn id="8" xr3:uid="{B59AA87C-48D4-4C46-8204-364A9AC67159}" name="TR_x000a_(in Pips)" dataDxfId="318">
      <calculatedColumnFormula>ABS(G17-H17)</calculatedColumnFormula>
    </tableColumn>
    <tableColumn id="9" xr3:uid="{7C1A8A5E-D518-4CF7-84B6-B173DEF8DE68}" name="TARGET" dataDxfId="317"/>
    <tableColumn id="10" xr3:uid="{506757E9-E41A-4A85-BAC1-79B5E6868689}" name="DATE2" dataDxfId="316"/>
    <tableColumn id="11" xr3:uid="{13659F03-391C-46D2-9BEA-0E0EBEBE010E}" name="EXIT" dataDxfId="315"/>
    <tableColumn id="12" xr3:uid="{831DBDFC-F195-4CE1-B170-A525D354DA89}" name="RESULT" dataDxfId="314">
      <calculatedColumnFormula>ROUND(IF(C17="L",(L17-G17),(G17-L17)),4)</calculatedColumnFormula>
    </tableColumn>
    <tableColumn id="13" xr3:uid="{A37158FA-405D-469F-87BF-AC951BC89B9E}" name="No. of Rs" dataDxfId="313">
      <calculatedColumnFormula>IFERROR(ROUND((M17/I17),2),"")</calculatedColumnFormula>
    </tableColumn>
    <tableColumn id="14" xr3:uid="{BE84FA64-7DDB-48AE-B961-8DA7E546F50A}" name="Heat" dataDxfId="312">
      <calculatedColumnFormula>IF(D17="O",IF(N17&lt;0,N17,0),0)</calculatedColumnFormula>
    </tableColumn>
    <tableColumn id="15" xr3:uid="{EED040D1-B364-4D44-B657-340EFF426D39}" name=" TR WIN" dataDxfId="311">
      <calculatedColumnFormula>IF(N17&gt;= 0,N17,0)</calculatedColumnFormula>
    </tableColumn>
    <tableColumn id="16" xr3:uid="{9647B9C9-3E6A-4288-8C8A-EB585E3976BF}" name=" TR LOSS" dataDxfId="310">
      <calculatedColumnFormula>IF(N17&lt;0,N17,0)</calculatedColumnFormula>
    </tableColumn>
    <tableColumn id="33" xr3:uid="{26501DD6-B0BD-4C5F-9719-095EAB3AB922}" name="Initial Losing Trade" dataDxfId="309">
      <calculatedColumnFormula>IF(AND(OFFSET(Tabla33610673[[#This Row],[Equity]],1,0)="",Tabla33610673[[#This Row],[No. of Rs]]&lt;0),"Yes",IF(AND(OFFSET(Tabla33610673[[#This Row],[Initial Losing Trade]],1,0)="Yes",Tabla33610673[[#This Row],[No. of Rs]]&lt;0),"Yes","No"))</calculatedColumnFormula>
    </tableColumn>
    <tableColumn id="30" xr3:uid="{A8942EA1-B60F-4060-B354-A9A5319F7BAB}" name="Equity" dataDxfId="308">
      <calculatedColumnFormula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calculatedColumnFormula>
    </tableColumn>
    <tableColumn id="32" xr3:uid="{AD3EBF58-B5B4-4F53-80F1-2B58CD7E638D}" name="Equity Peak" dataDxfId="307">
      <calculatedColumnFormula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calculatedColumnFormula>
    </tableColumn>
    <tableColumn id="31" xr3:uid="{398F8D3E-58DA-43C6-A52E-D88D257A4E77}" name="Drawdown" dataDxfId="306">
      <calculatedColumnFormula>IF(Tabla33610673[[#This Row],[Equity]]&lt;Tabla33610673[[#This Row],[Equity Peak]],(Tabla33610673[[#This Row],[Equity Peak]]-Tabla33610673[[#This Row],[Equity]])/Tabla33610673[[#This Row],[Equity Peak]],"")</calculatedColumnFormula>
    </tableColumn>
    <tableColumn id="17" xr3:uid="{884048EE-E192-4CDD-AC98-589F1C40B528}" name="Currency" dataDxfId="305">
      <calculatedColumnFormula>IF(B17="FX",N17,0)</calculatedColumnFormula>
    </tableColumn>
    <tableColumn id="18" xr3:uid="{7A4ED22B-3893-4DF6-B718-4A8D7B5B6C84}" name="Heat3" dataDxfId="304">
      <calculatedColumnFormula>IF(D17="O",IF(V17&lt;0,V17,0),0)</calculatedColumnFormula>
    </tableColumn>
    <tableColumn id="19" xr3:uid="{10339926-36C5-4D13-A0BC-39A5BBCA82EF}" name="Commodities" dataDxfId="303">
      <calculatedColumnFormula>IF(B17="COM",N17,0)</calculatedColumnFormula>
    </tableColumn>
    <tableColumn id="20" xr3:uid="{2270C49F-0D13-4C03-9BE1-255E683E3EFC}" name="Heat4" dataDxfId="302">
      <calculatedColumnFormula>IF(D17="O",IF(X17&lt;0,X17,0),0)</calculatedColumnFormula>
    </tableColumn>
    <tableColumn id="21" xr3:uid="{CA210692-9647-419E-BD1D-4DBA4A103ABB}" name="Index" dataDxfId="301">
      <calculatedColumnFormula>IF(B17="IND",N17,0)</calculatedColumnFormula>
    </tableColumn>
    <tableColumn id="22" xr3:uid="{40222399-5374-4E90-B67A-E1D2EECADABB}" name="Heat5" dataDxfId="300">
      <calculatedColumnFormula>IF(D17="O",IF(Z17&lt;0,Z17,0),0)</calculatedColumnFormula>
    </tableColumn>
    <tableColumn id="27" xr3:uid="{AA5E82E1-0C9C-4564-93CE-89D5B82DCA91}" name="Cryptocurrency" dataDxfId="299">
      <calculatedColumnFormula>IF(B17="CRYPTO",N17,0)</calculatedColumnFormula>
    </tableColumn>
    <tableColumn id="28" xr3:uid="{ED02066B-D18D-4824-9807-83D29C3666FF}" name="Heat6" dataDxfId="298">
      <calculatedColumnFormula>IF(D17="O",IF(AB17&lt;0,AB17,0),0)</calculatedColumnFormula>
    </tableColumn>
    <tableColumn id="23" xr3:uid="{06E8FBB8-DB6F-405D-AB12-B3463C16A22E}" name="Length of _x000a_Trade" dataDxfId="297">
      <calculatedColumnFormula>IF(K17&lt;&gt;"",K17-E17,0)</calculatedColumnFormula>
    </tableColumn>
    <tableColumn id="24" xr3:uid="{BBBC94FC-0CD0-47C9-A958-1315A25086C3}" name="Win" dataDxfId="296">
      <calculatedColumnFormula>IF(N17&gt;0,AD17,0)</calculatedColumnFormula>
    </tableColumn>
    <tableColumn id="25" xr3:uid="{2797C778-0647-4B10-ADD9-4878ED310DDC}" name="Loss" dataDxfId="295">
      <calculatedColumnFormula>IF(N17&lt;0,AD17,0)</calculatedColumnFormula>
    </tableColumn>
    <tableColumn id="26" xr3:uid="{FEE65B8C-AC5A-4B4F-A845-03F48884A072}" name="Breakeven" dataDxfId="294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Inst" displayName="Inst" ref="A1:B22" totalsRowShown="0">
  <autoFilter ref="A1:B22" xr:uid="{00000000-0009-0000-0100-000004000000}"/>
  <tableColumns count="2">
    <tableColumn id="1" xr3:uid="{00000000-0010-0000-0200-000001000000}" name="Sheet Name"/>
    <tableColumn id="2" xr3:uid="{00000000-0010-0000-0200-000002000000}" name="Instrument"/>
  </tableColumns>
  <tableStyleInfo name="TableStyleLight9" showFirstColumn="0" showLastColumn="0" showRowStripes="1" showColumnStripes="1"/>
</table>
</file>

<file path=xl/tables/table3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7" xr:uid="{AD115F30-25FC-4A93-9F54-058DF5C350C7}" name="Tabla3361067348" displayName="Tabla3361067348" ref="B16:AG17" insertRow="1" totalsRowShown="0" headerRowDxfId="285" dataDxfId="284">
  <autoFilter ref="B16:AG17" xr:uid="{00000000-0009-0000-0100-000009000000}"/>
  <sortState xmlns:xlrd2="http://schemas.microsoft.com/office/spreadsheetml/2017/richdata2" ref="B17:AG17">
    <sortCondition descending="1" ref="D16:D17"/>
  </sortState>
  <tableColumns count="32">
    <tableColumn id="1" xr3:uid="{E9BFDD93-1840-4127-8B17-C17CE84F1872}" name="Inst" dataDxfId="283"/>
    <tableColumn id="2" xr3:uid="{59A489DF-925E-4074-9726-3CF1F649768D}" name="L/S" dataDxfId="282"/>
    <tableColumn id="3" xr3:uid="{B19E5F55-6E9A-415A-8B1B-722A2A2EA243}" name="O/C" dataDxfId="281">
      <calculatedColumnFormula>IF(E17&lt;&gt;"",IF(K17&lt;&gt;"","C","O"),"")</calculatedColumnFormula>
    </tableColumn>
    <tableColumn id="4" xr3:uid="{FAF03623-4A90-40C5-9582-F3D97CE3601C}" name="DATE" dataDxfId="280"/>
    <tableColumn id="5" xr3:uid="{5873CC0B-5B6C-4551-AC38-460A38A3AC59}" name="INST." dataDxfId="279"/>
    <tableColumn id="6" xr3:uid="{42FB14B4-8692-4591-990A-E505185C411C}" name="ENTRY " dataDxfId="278"/>
    <tableColumn id="7" xr3:uid="{074A08F7-2E71-4163-9605-7B0CDD91E9DF}" name="STOP " dataDxfId="277"/>
    <tableColumn id="8" xr3:uid="{9B60959D-F2BC-482A-AB4C-EEDB88698F95}" name="TR_x000a_(in Pips)" dataDxfId="276">
      <calculatedColumnFormula>ABS(G17-H17)</calculatedColumnFormula>
    </tableColumn>
    <tableColumn id="9" xr3:uid="{C8B6CD34-0E0C-48F8-9E97-9B9BC1320E40}" name="TARGET" dataDxfId="275"/>
    <tableColumn id="10" xr3:uid="{4280FF29-26E4-4012-9CAE-A83D56336DB9}" name="DATE2" dataDxfId="274"/>
    <tableColumn id="11" xr3:uid="{6316768D-C24C-42F3-A168-BEBA8B315D46}" name="EXIT" dataDxfId="273"/>
    <tableColumn id="12" xr3:uid="{9D056B64-0A38-4F8C-9BE1-341E38B43297}" name="RESULT" dataDxfId="272">
      <calculatedColumnFormula>ROUND(IF(C17="L",(L17-G17),(G17-L17)),4)</calculatedColumnFormula>
    </tableColumn>
    <tableColumn id="13" xr3:uid="{D325A67B-0A5C-4873-BF22-8110AA7DD6F5}" name="No. of Rs" dataDxfId="271">
      <calculatedColumnFormula>IFERROR(ROUND((M17/I17),2),"")</calculatedColumnFormula>
    </tableColumn>
    <tableColumn id="14" xr3:uid="{94BFC759-0CD7-4AB3-86FE-9C3CFC481008}" name="Heat" dataDxfId="270">
      <calculatedColumnFormula>IF(D17="O",IF(N17&lt;0,N17,0),0)</calculatedColumnFormula>
    </tableColumn>
    <tableColumn id="15" xr3:uid="{0DBEC2DC-92B9-4DB5-9924-6F5D8A894AB0}" name=" TR WIN" dataDxfId="269">
      <calculatedColumnFormula>IF(N17&gt;= 0,N17,0)</calculatedColumnFormula>
    </tableColumn>
    <tableColumn id="16" xr3:uid="{740B4C97-6829-440F-9F2F-99196F5953C2}" name=" TR LOSS" dataDxfId="268">
      <calculatedColumnFormula>IF(N17&lt;0,N17,0)</calculatedColumnFormula>
    </tableColumn>
    <tableColumn id="33" xr3:uid="{01A9AE4B-A688-40BD-9E3A-A00CE741281F}" name="Initial Losing Trade" dataDxfId="267">
      <calculatedColumnFormula>IF(AND(OFFSET(Tabla3361067348[[#This Row],[Equity]],1,0)="",Tabla3361067348[[#This Row],[No. of Rs]]&lt;0),"Yes",IF(AND(OFFSET(Tabla3361067348[[#This Row],[Initial Losing Trade]],1,0)="Yes",Tabla3361067348[[#This Row],[No. of Rs]]&lt;0),"Yes","No"))</calculatedColumnFormula>
    </tableColumn>
    <tableColumn id="30" xr3:uid="{A2D09DE5-D593-4C46-ADEB-36D524C7B576}" name="Equity" dataDxfId="266">
      <calculatedColumnFormula>IF(OFFSET(Tabla3361067348[[#This Row],[Equity]],1,0)="",IF(Tabla3361067348[[#This Row],[No. of Rs]]="",$F$11,$F$11+($F$11*Tabla3361067348[[#This Row],[No. of Rs]]/100)),IF(Tabla3361067348[[#This Row],[No. of Rs]]="",OFFSET(Tabla3361067348[[#This Row],[Equity]],1,0),OFFSET(Tabla3361067348[[#This Row],[Equity]],1,0)+($F$11*Tabla3361067348[[#This Row],[No. of Rs]]/100)))</calculatedColumnFormula>
    </tableColumn>
    <tableColumn id="32" xr3:uid="{D3446AD1-A93A-4723-93DA-DB220EB75935}" name="Equity Peak" dataDxfId="265">
      <calculatedColumnFormula>IF(OFFSET(Tabla3361067348[[#This Row],[Equity Peak]],1,0)="",IF(Tabla3361067348[[#This Row],[Initial Losing Trade]]="Yes",$F$11,Tabla3361067348[[#This Row],[Equity]]),IF(OFFSET(Tabla3361067348[[#This Row],[Equity Peak]],1,0)&gt;Tabla3361067348[[#This Row],[Equity]],OFFSET(Tabla3361067348[[#This Row],[Equity Peak]],1,0),Tabla3361067348[[#This Row],[Equity]]))</calculatedColumnFormula>
    </tableColumn>
    <tableColumn id="31" xr3:uid="{B1087D81-48DB-4F73-B0F5-436F28159638}" name="Drawdown" dataDxfId="264">
      <calculatedColumnFormula>IF(Tabla3361067348[[#This Row],[Equity]]&lt;Tabla3361067348[[#This Row],[Equity Peak]],(Tabla3361067348[[#This Row],[Equity Peak]]-Tabla3361067348[[#This Row],[Equity]])/Tabla3361067348[[#This Row],[Equity Peak]],"")</calculatedColumnFormula>
    </tableColumn>
    <tableColumn id="17" xr3:uid="{27355424-BDF7-45F9-B5B9-1D0591BE25FE}" name="Currency" dataDxfId="263">
      <calculatedColumnFormula>IF(B17="FX",N17,0)</calculatedColumnFormula>
    </tableColumn>
    <tableColumn id="18" xr3:uid="{03A9C943-83D6-4C90-9FED-1CD41C89DD61}" name="Heat3" dataDxfId="262">
      <calculatedColumnFormula>IF(D17="O",IF(V17&lt;0,V17,0),0)</calculatedColumnFormula>
    </tableColumn>
    <tableColumn id="19" xr3:uid="{DFEFD9CD-474D-4341-8983-24B2DC09734B}" name="Commodities" dataDxfId="261">
      <calculatedColumnFormula>IF(B17="COM",N17,0)</calculatedColumnFormula>
    </tableColumn>
    <tableColumn id="20" xr3:uid="{F5DF204E-D500-4C80-B234-80AAF26492E3}" name="Heat4" dataDxfId="260">
      <calculatedColumnFormula>IF(D17="O",IF(X17&lt;0,X17,0),0)</calculatedColumnFormula>
    </tableColumn>
    <tableColumn id="21" xr3:uid="{DFCD6A4A-5137-4D08-9890-B9C2C39BFBE8}" name="Index" dataDxfId="259">
      <calculatedColumnFormula>IF(B17="IND",N17,0)</calculatedColumnFormula>
    </tableColumn>
    <tableColumn id="22" xr3:uid="{A7E70DB3-D8CF-4FDB-8D24-06D2B658F240}" name="Heat5" dataDxfId="258">
      <calculatedColumnFormula>IF(D17="O",IF(Z17&lt;0,Z17,0),0)</calculatedColumnFormula>
    </tableColumn>
    <tableColumn id="27" xr3:uid="{7559D316-E562-42B2-8916-54ED8FA60899}" name="Cryptocurrency" dataDxfId="257">
      <calculatedColumnFormula>IF(B17="CRYPTO",N17,0)</calculatedColumnFormula>
    </tableColumn>
    <tableColumn id="28" xr3:uid="{0C11D3E6-F52F-4669-8A69-1AAC98E2CEAF}" name="Heat6" dataDxfId="256">
      <calculatedColumnFormula>IF(D17="O",IF(AB17&lt;0,AB17,0),0)</calculatedColumnFormula>
    </tableColumn>
    <tableColumn id="23" xr3:uid="{9FBFA019-C035-4153-9E69-4F2981D13DA7}" name="Length of _x000a_Trade" dataDxfId="255">
      <calculatedColumnFormula>IF(K17&lt;&gt;"",K17-E17,0)</calculatedColumnFormula>
    </tableColumn>
    <tableColumn id="24" xr3:uid="{F119A218-CB9A-4385-A401-E93C27DDEAEF}" name="Win" dataDxfId="254">
      <calculatedColumnFormula>IF(N17&gt;0,AD17,0)</calculatedColumnFormula>
    </tableColumn>
    <tableColumn id="25" xr3:uid="{BC6204BE-303F-4D53-BA39-69CCAB605F30}" name="Loss" dataDxfId="253">
      <calculatedColumnFormula>IF(N17&lt;0,AD17,0)</calculatedColumnFormula>
    </tableColumn>
    <tableColumn id="26" xr3:uid="{49C2BD18-6B20-450F-919F-C592D0362164}" name="Breakeven" dataDxfId="252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5" xr:uid="{2AC03A8E-E6D7-49B3-8DED-EDA1A68324A8}" name="Tabla33610673486" displayName="Tabla33610673486" ref="B16:AG138" totalsRowShown="0" headerRowDxfId="243" dataDxfId="242">
  <autoFilter ref="B16:AG138" xr:uid="{00000000-0009-0000-0100-000009000000}"/>
  <sortState xmlns:xlrd2="http://schemas.microsoft.com/office/spreadsheetml/2017/richdata2" ref="B17:AG138">
    <sortCondition descending="1" ref="D16:D138"/>
  </sortState>
  <tableColumns count="32">
    <tableColumn id="1" xr3:uid="{D340922A-49D2-4CC1-90FD-033258B8E2C4}" name="Inst" dataDxfId="241"/>
    <tableColumn id="2" xr3:uid="{6B5EA7B9-048C-4FDC-9221-14D24CEDF7BB}" name="L/S" dataDxfId="240"/>
    <tableColumn id="3" xr3:uid="{0B2225E9-A1AB-4C68-8402-8B60DC72CDE5}" name="O/C" dataDxfId="239">
      <calculatedColumnFormula>IF(E17&lt;&gt;"",IF(K17&lt;&gt;"","C","O"),"")</calculatedColumnFormula>
    </tableColumn>
    <tableColumn id="4" xr3:uid="{AB0468B2-2D94-4B0E-839E-A551F9AEBD64}" name="DATE" dataDxfId="238"/>
    <tableColumn id="5" xr3:uid="{E37210C6-9E7B-4676-9AC7-D4AA7E70EF80}" name="INST." dataDxfId="237"/>
    <tableColumn id="6" xr3:uid="{273EE200-EF48-4068-B9B7-2552CABCE1A1}" name="ENTRY " dataDxfId="236"/>
    <tableColumn id="7" xr3:uid="{3E581079-C1E3-4E9C-9911-E600D58B6CE9}" name="STOP " dataDxfId="235"/>
    <tableColumn id="8" xr3:uid="{3C6F9749-5D13-4168-A0AA-DEF4A71307D2}" name="TR_x000a_(in Pips)" dataDxfId="234">
      <calculatedColumnFormula>ABS(G17-H17)</calculatedColumnFormula>
    </tableColumn>
    <tableColumn id="9" xr3:uid="{01119C8C-B36F-4683-BEAA-410E5ED7D863}" name="TARGET" dataDxfId="233"/>
    <tableColumn id="10" xr3:uid="{2E15F228-E81C-484B-92E1-B1692EFEA0B8}" name="DATE2" dataDxfId="232"/>
    <tableColumn id="11" xr3:uid="{719B167C-4326-4680-A964-2EA627099EEE}" name="EXIT" dataDxfId="231"/>
    <tableColumn id="12" xr3:uid="{4CB5227F-58AE-49DB-8443-393E1218460B}" name="RESULT" dataDxfId="230">
      <calculatedColumnFormula>ROUND(IF(C17="L",(L17-G17),(G17-L17)),4)</calculatedColumnFormula>
    </tableColumn>
    <tableColumn id="13" xr3:uid="{D0488F0D-ED7E-4537-A4F2-B591526A7789}" name="No. of Rs" dataDxfId="229">
      <calculatedColumnFormula>IFERROR(ROUND((M17/I17),2),"")</calculatedColumnFormula>
    </tableColumn>
    <tableColumn id="14" xr3:uid="{0671EB80-57FA-4517-AE10-BE3E4420E1FB}" name="Heat" dataDxfId="228">
      <calculatedColumnFormula>IF(D17="O",IF(N17&lt;0,N17,0),0)</calculatedColumnFormula>
    </tableColumn>
    <tableColumn id="15" xr3:uid="{42D45C88-4B2C-485E-BC20-B7C6F00FB987}" name=" TR WIN" dataDxfId="227">
      <calculatedColumnFormula>IF(N17&gt;= 0,N17,0)</calculatedColumnFormula>
    </tableColumn>
    <tableColumn id="16" xr3:uid="{50CAFAF6-A4F0-4079-B583-81B2629D9E40}" name=" TR LOSS" dataDxfId="226">
      <calculatedColumnFormula>IF(N17&lt;0,N17,0)</calculatedColumnFormula>
    </tableColumn>
    <tableColumn id="33" xr3:uid="{6ABDA8D9-2AD5-40E8-9C15-1CFD15E6ADF7}" name="Initial Losing Trade" dataDxfId="225">
      <calculatedColumnFormula>IF(AND(OFFSET(Tabla33610673486[[#This Row],[Equity]],1,0)="",Tabla33610673486[[#This Row],[No. of Rs]]&lt;0),"Yes",IF(AND(OFFSET(Tabla33610673486[[#This Row],[Initial Losing Trade]],1,0)="Yes",Tabla33610673486[[#This Row],[No. of Rs]]&lt;0),"Yes","No"))</calculatedColumnFormula>
    </tableColumn>
    <tableColumn id="30" xr3:uid="{76ACB9BA-291E-4ABA-920B-784BB5436CC5}" name="Equity" dataDxfId="224">
      <calculatedColumnFormula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calculatedColumnFormula>
    </tableColumn>
    <tableColumn id="32" xr3:uid="{1DC52F9D-3A7C-451C-B9BC-88793E4F08FF}" name="Equity Peak" dataDxfId="223">
      <calculatedColumnFormula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calculatedColumnFormula>
    </tableColumn>
    <tableColumn id="31" xr3:uid="{E622EA1C-2E07-4E7E-965E-BC1597FC4B16}" name="Drawdown" dataDxfId="222">
      <calculatedColumnFormula>IF(Tabla33610673486[[#This Row],[Equity]]&lt;Tabla33610673486[[#This Row],[Equity Peak]],(Tabla33610673486[[#This Row],[Equity Peak]]-Tabla33610673486[[#This Row],[Equity]])/Tabla33610673486[[#This Row],[Equity Peak]],"")</calculatedColumnFormula>
    </tableColumn>
    <tableColumn id="17" xr3:uid="{36BD358E-1283-4635-901B-BD4347C5DAF7}" name="Currency" dataDxfId="221">
      <calculatedColumnFormula>IF(B17="FX",N17,0)</calculatedColumnFormula>
    </tableColumn>
    <tableColumn id="18" xr3:uid="{45C872BA-8FF6-49A0-8050-836243E2A146}" name="Heat3" dataDxfId="220">
      <calculatedColumnFormula>IF(D17="O",IF(V17&lt;0,V17,0),0)</calculatedColumnFormula>
    </tableColumn>
    <tableColumn id="19" xr3:uid="{8FD6A9CB-9DF0-44E7-9163-C77599170AC4}" name="Commodities" dataDxfId="219">
      <calculatedColumnFormula>IF(B17="COM",N17,0)</calculatedColumnFormula>
    </tableColumn>
    <tableColumn id="20" xr3:uid="{6633964F-38B2-43A9-8C13-59533B8DBE48}" name="Heat4" dataDxfId="218">
      <calculatedColumnFormula>IF(D17="O",IF(X17&lt;0,X17,0),0)</calculatedColumnFormula>
    </tableColumn>
    <tableColumn id="21" xr3:uid="{1F1C2C3B-E248-46B7-9800-55A63E3D6CDA}" name="Index" dataDxfId="217">
      <calculatedColumnFormula>IF(B17="IND",N17,0)</calculatedColumnFormula>
    </tableColumn>
    <tableColumn id="22" xr3:uid="{A18E2505-4A09-4E9F-BCE4-E2F3C2F557D6}" name="Heat5" dataDxfId="216">
      <calculatedColumnFormula>IF(D17="O",IF(Z17&lt;0,Z17,0),0)</calculatedColumnFormula>
    </tableColumn>
    <tableColumn id="27" xr3:uid="{31791ACC-502D-4960-9917-9EC2DC2CD1C4}" name="Cryptocurrency" dataDxfId="215">
      <calculatedColumnFormula>IF(B17="CRYPTO",N17,0)</calculatedColumnFormula>
    </tableColumn>
    <tableColumn id="28" xr3:uid="{ED78A28C-A416-4696-8521-7CDA75158909}" name="Heat6" dataDxfId="214">
      <calculatedColumnFormula>IF(D17="O",IF(AB17&lt;0,AB17,0),0)</calculatedColumnFormula>
    </tableColumn>
    <tableColumn id="23" xr3:uid="{6DF9ED41-D4AD-43D1-B2A5-A36A148CF4D7}" name="Length of _x000a_Trade" dataDxfId="213">
      <calculatedColumnFormula>IF(K17&lt;&gt;"",K17-E17,0)</calculatedColumnFormula>
    </tableColumn>
    <tableColumn id="24" xr3:uid="{34B55CAB-CAE5-42DC-A098-6932F32E5A92}" name="Win" dataDxfId="212">
      <calculatedColumnFormula>IF(N17&gt;0,AD17,0)</calculatedColumnFormula>
    </tableColumn>
    <tableColumn id="25" xr3:uid="{119273FF-F5D5-4DBF-96AC-29371F93A6A1}" name="Loss" dataDxfId="211">
      <calculatedColumnFormula>IF(N17&lt;0,AD17,0)</calculatedColumnFormula>
    </tableColumn>
    <tableColumn id="26" xr3:uid="{2F1D2166-56E1-473A-8150-5A6DFBDD46F5}" name="Breakeven" dataDxfId="210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6" xr:uid="{C9DCA823-828C-481A-9188-69D21C457E30}" name="Tabla33610673487" displayName="Tabla33610673487" ref="B16:AG78" totalsRowShown="0" headerRowDxfId="201" dataDxfId="200">
  <autoFilter ref="B16:AG78" xr:uid="{00000000-0009-0000-0100-000009000000}"/>
  <sortState xmlns:xlrd2="http://schemas.microsoft.com/office/spreadsheetml/2017/richdata2" ref="B17:AG78">
    <sortCondition descending="1" ref="D16:D78"/>
  </sortState>
  <tableColumns count="32">
    <tableColumn id="1" xr3:uid="{4605BAAA-E080-4432-9B73-DBD2235D2819}" name="Inst" dataDxfId="199"/>
    <tableColumn id="2" xr3:uid="{C0839395-578D-4CDC-BA63-4ADEFAD603AD}" name="L/S" dataDxfId="198"/>
    <tableColumn id="3" xr3:uid="{C6ED6F34-7E9A-4BD0-A8CE-0A4DC887C8BA}" name="O/C" dataDxfId="197">
      <calculatedColumnFormula>IF(E17&lt;&gt;"",IF(K17&lt;&gt;"","C","O"),"")</calculatedColumnFormula>
    </tableColumn>
    <tableColumn id="4" xr3:uid="{A9F43AB1-C3AB-41E8-BBE1-3F4CFB04CC82}" name="DATE" dataDxfId="196"/>
    <tableColumn id="5" xr3:uid="{66FF759F-C333-443A-A853-DBE7A8AFDA71}" name="INST." dataDxfId="195"/>
    <tableColumn id="6" xr3:uid="{89899C3B-AA75-42DE-83CF-57CE5D0A8729}" name="ENTRY " dataDxfId="194"/>
    <tableColumn id="7" xr3:uid="{F858B79A-F6E2-479B-BBEE-874CE9A283BF}" name="STOP " dataDxfId="193"/>
    <tableColumn id="8" xr3:uid="{4250225D-7C88-441C-BCD0-7490A3EE9B57}" name="TR_x000a_(in Pips)" dataDxfId="192">
      <calculatedColumnFormula>ABS(G17-H17)</calculatedColumnFormula>
    </tableColumn>
    <tableColumn id="9" xr3:uid="{D2A6617F-EACF-4FF3-8639-D66DEA261F25}" name="TARGET" dataDxfId="191"/>
    <tableColumn id="10" xr3:uid="{A7DE512D-B84C-4E8D-A6BD-2A9202BF4650}" name="DATE2" dataDxfId="190"/>
    <tableColumn id="11" xr3:uid="{10643205-20B7-45FC-8F7C-05778FCEB867}" name="EXIT" dataDxfId="189"/>
    <tableColumn id="12" xr3:uid="{8DD248FD-EBFF-46B2-AE67-CFC27BA15813}" name="RESULT" dataDxfId="188">
      <calculatedColumnFormula>ROUND(IF(C17="L",(L17-G17),(G17-L17)),4)</calculatedColumnFormula>
    </tableColumn>
    <tableColumn id="13" xr3:uid="{4921F856-9A68-4066-911D-5252B0A8197A}" name="No. of Rs" dataDxfId="187">
      <calculatedColumnFormula>IFERROR(ROUND((M17/I17),2),"")</calculatedColumnFormula>
    </tableColumn>
    <tableColumn id="14" xr3:uid="{95AA26AB-369C-482E-B90B-B425BAC7DDFE}" name="Heat" dataDxfId="186">
      <calculatedColumnFormula>IF(D17="O",IF(N17&lt;0,N17,0),0)</calculatedColumnFormula>
    </tableColumn>
    <tableColumn id="15" xr3:uid="{4CFDDBE5-F918-4430-B04D-2B644EF6085F}" name=" TR WIN" dataDxfId="185">
      <calculatedColumnFormula>IF(N17&gt;= 0,N17,0)</calculatedColumnFormula>
    </tableColumn>
    <tableColumn id="16" xr3:uid="{116EBDB1-4415-46B2-ACE1-DB3BA7A5B4B7}" name=" TR LOSS" dataDxfId="184">
      <calculatedColumnFormula>IF(N17&lt;0,N17,0)</calculatedColumnFormula>
    </tableColumn>
    <tableColumn id="33" xr3:uid="{F44A9986-7A16-478A-8476-DD11323A2587}" name="Initial Losing Trade" dataDxfId="183">
      <calculatedColumnFormula>IF(AND(OFFSET(Tabla33610673487[[#This Row],[Equity]],1,0)="",Tabla33610673487[[#This Row],[No. of Rs]]&lt;0),"Yes",IF(AND(OFFSET(Tabla33610673487[[#This Row],[Initial Losing Trade]],1,0)="Yes",Tabla33610673487[[#This Row],[No. of Rs]]&lt;0),"Yes","No"))</calculatedColumnFormula>
    </tableColumn>
    <tableColumn id="30" xr3:uid="{0877814F-3D0A-46B4-89D3-CE29B47C4D8C}" name="Equity" dataDxfId="182">
      <calculatedColumnFormula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calculatedColumnFormula>
    </tableColumn>
    <tableColumn id="32" xr3:uid="{B5DA1650-EDCA-43E5-BC70-A47E69675DF4}" name="Equity Peak" dataDxfId="181">
      <calculatedColumnFormula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calculatedColumnFormula>
    </tableColumn>
    <tableColumn id="31" xr3:uid="{21872658-69A7-4E4A-A11A-C31FD64E8B90}" name="Drawdown" dataDxfId="180">
      <calculatedColumnFormula>IF(Tabla33610673487[[#This Row],[Equity]]&lt;Tabla33610673487[[#This Row],[Equity Peak]],(Tabla33610673487[[#This Row],[Equity Peak]]-Tabla33610673487[[#This Row],[Equity]])/Tabla33610673487[[#This Row],[Equity Peak]],"")</calculatedColumnFormula>
    </tableColumn>
    <tableColumn id="17" xr3:uid="{E7665350-3CEA-4565-8EFB-564BAECFC76D}" name="Currency" dataDxfId="179">
      <calculatedColumnFormula>IF(B17="FX",N17,0)</calculatedColumnFormula>
    </tableColumn>
    <tableColumn id="18" xr3:uid="{E109A1A8-F707-40EB-91F7-6D7AAEE52A15}" name="Heat3" dataDxfId="178">
      <calculatedColumnFormula>IF(D17="O",IF(V17&lt;0,V17,0),0)</calculatedColumnFormula>
    </tableColumn>
    <tableColumn id="19" xr3:uid="{211A9DC5-F5CB-434A-A425-69414120CBEB}" name="Commodities" dataDxfId="177">
      <calculatedColumnFormula>IF(B17="COM",N17,0)</calculatedColumnFormula>
    </tableColumn>
    <tableColumn id="20" xr3:uid="{E1B42C24-B710-4768-BD4A-00413A1EC3DB}" name="Heat4" dataDxfId="176">
      <calculatedColumnFormula>IF(D17="O",IF(X17&lt;0,X17,0),0)</calculatedColumnFormula>
    </tableColumn>
    <tableColumn id="21" xr3:uid="{67371655-9382-47DE-80C5-C4B6BCB394DF}" name="Index" dataDxfId="175">
      <calculatedColumnFormula>IF(B17="IND",N17,0)</calculatedColumnFormula>
    </tableColumn>
    <tableColumn id="22" xr3:uid="{5EB862B9-0536-4B36-93BF-E175564B8DEC}" name="Heat5" dataDxfId="174">
      <calculatedColumnFormula>IF(D17="O",IF(Z17&lt;0,Z17,0),0)</calculatedColumnFormula>
    </tableColumn>
    <tableColumn id="27" xr3:uid="{B217A3C7-501F-4A98-9FAD-2DBDE248A2E1}" name="Cryptocurrency" dataDxfId="173">
      <calculatedColumnFormula>IF(B17="CRYPTO",N17,0)</calculatedColumnFormula>
    </tableColumn>
    <tableColumn id="28" xr3:uid="{4864EFC1-CD9D-4C14-8F9F-40226A819FC8}" name="Heat6" dataDxfId="172">
      <calculatedColumnFormula>IF(D17="O",IF(AB17&lt;0,AB17,0),0)</calculatedColumnFormula>
    </tableColumn>
    <tableColumn id="23" xr3:uid="{62982577-9E1F-42C1-8F0D-6393F5304BB4}" name="Length of _x000a_Trade" dataDxfId="171">
      <calculatedColumnFormula>IF(K17&lt;&gt;"",K17-E17,0)</calculatedColumnFormula>
    </tableColumn>
    <tableColumn id="24" xr3:uid="{215576A8-5C83-4D10-B143-AA4156E11038}" name="Win" dataDxfId="170">
      <calculatedColumnFormula>IF(N17&gt;0,AD17,0)</calculatedColumnFormula>
    </tableColumn>
    <tableColumn id="25" xr3:uid="{3B64A97B-5C3C-48F9-8CD4-90412237B9AD}" name="Loss" dataDxfId="169">
      <calculatedColumnFormula>IF(N17&lt;0,AD17,0)</calculatedColumnFormula>
    </tableColumn>
    <tableColumn id="26" xr3:uid="{CCC44D5E-F005-4DE6-B08C-E8DDE4CE6373}" name="Breakeven" dataDxfId="168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8" xr:uid="{2A7EED59-A505-4735-ABB7-55238989D4F5}" name="Tabla33610673489" displayName="Tabla33610673489" ref="B16:AG192" totalsRowShown="0" headerRowDxfId="159" dataDxfId="158">
  <autoFilter ref="B16:AG192" xr:uid="{00000000-0009-0000-0100-000009000000}"/>
  <sortState xmlns:xlrd2="http://schemas.microsoft.com/office/spreadsheetml/2017/richdata2" ref="B17:AG192">
    <sortCondition descending="1" ref="D16:D192"/>
  </sortState>
  <tableColumns count="32">
    <tableColumn id="1" xr3:uid="{D6C25AA8-4C9C-4374-9E33-30642C2592D5}" name="Inst" dataDxfId="157"/>
    <tableColumn id="2" xr3:uid="{ED0142E5-5212-44A6-AB08-8DB8F9E569C2}" name="L/S" dataDxfId="156"/>
    <tableColumn id="3" xr3:uid="{B2D2BA38-01D7-4AE3-B499-D3ECEF8B4725}" name="O/C" dataDxfId="155">
      <calculatedColumnFormula>IF(E17&lt;&gt;"",IF(K17&lt;&gt;"","C","O"),"")</calculatedColumnFormula>
    </tableColumn>
    <tableColumn id="4" xr3:uid="{B3743894-D648-4D35-A15B-9B9558E30DE8}" name="DATE" dataDxfId="154"/>
    <tableColumn id="5" xr3:uid="{F5454CEC-36C1-4976-8CD4-82D6A3D21894}" name="INST." dataDxfId="153"/>
    <tableColumn id="6" xr3:uid="{8C24A514-6246-496A-AF9D-4ACFB58E380D}" name="ENTRY " dataDxfId="152"/>
    <tableColumn id="7" xr3:uid="{7ADCA3AF-6271-4FB2-8A0E-9565700BACF7}" name="STOP " dataDxfId="151"/>
    <tableColumn id="8" xr3:uid="{4B3EA27F-7DB2-4FA7-AC7A-9EC9DED54ECE}" name="TR_x000a_(in Pips)" dataDxfId="150">
      <calculatedColumnFormula>ABS(G17-H17)</calculatedColumnFormula>
    </tableColumn>
    <tableColumn id="9" xr3:uid="{7E529C42-0136-4CCF-80BC-812B6A412B84}" name="TARGET" dataDxfId="149"/>
    <tableColumn id="10" xr3:uid="{2D05E442-A103-4F70-9FF7-A12076B5A877}" name="DATE2" dataDxfId="148"/>
    <tableColumn id="11" xr3:uid="{33B1B2DD-DFB8-427B-9E29-9858708E7862}" name="EXIT" dataDxfId="147"/>
    <tableColumn id="12" xr3:uid="{0051016F-AC27-4A25-A8E2-C73C38B918ED}" name="RESULT" dataDxfId="146">
      <calculatedColumnFormula>ROUND(IF(C17="L",(L17-G17),(G17-L17)),4)</calculatedColumnFormula>
    </tableColumn>
    <tableColumn id="13" xr3:uid="{8BD635E1-035F-4173-9FD7-BD23E9C2F1AB}" name="No. of Rs" dataDxfId="145">
      <calculatedColumnFormula>IFERROR(ROUND((M17/I17),2),"")</calculatedColumnFormula>
    </tableColumn>
    <tableColumn id="14" xr3:uid="{41F8303F-F3AF-4509-BF3E-D8DFC1D35C59}" name="Heat" dataDxfId="144">
      <calculatedColumnFormula>IF(D17="O",IF(N17&lt;0,N17,0),0)</calculatedColumnFormula>
    </tableColumn>
    <tableColumn id="15" xr3:uid="{C9A6FAF0-29D3-4F6E-B0B6-8089D415A43C}" name=" TR WIN" dataDxfId="143">
      <calculatedColumnFormula>IF(N17&gt;= 0,N17,0)</calculatedColumnFormula>
    </tableColumn>
    <tableColumn id="16" xr3:uid="{21FB96AB-3116-4163-A142-4B3A7B732970}" name=" TR LOSS" dataDxfId="142">
      <calculatedColumnFormula>IF(N17&lt;0,N17,0)</calculatedColumnFormula>
    </tableColumn>
    <tableColumn id="33" xr3:uid="{710B54AA-28A2-46DD-B18B-3A11B05559E0}" name="Initial Losing Trade" dataDxfId="141">
      <calculatedColumnFormula>IF(AND(OFFSET(Tabla33610673489[[#This Row],[Equity]],1,0)="",Tabla33610673489[[#This Row],[No. of Rs]]&lt;0),"Yes",IF(AND(OFFSET(Tabla33610673489[[#This Row],[Initial Losing Trade]],1,0)="Yes",Tabla33610673489[[#This Row],[No. of Rs]]&lt;0),"Yes","No"))</calculatedColumnFormula>
    </tableColumn>
    <tableColumn id="30" xr3:uid="{9CF8498F-CA42-4CB4-823C-E9DAFB509E90}" name="Equity" dataDxfId="140">
      <calculatedColumnFormula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calculatedColumnFormula>
    </tableColumn>
    <tableColumn id="32" xr3:uid="{DD95A26B-747B-4511-8324-73B665FF7B65}" name="Equity Peak" dataDxfId="139">
      <calculatedColumnFormula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calculatedColumnFormula>
    </tableColumn>
    <tableColumn id="31" xr3:uid="{BE167F1E-AEA0-4324-ADCC-D0B12EC35DF9}" name="Drawdown" dataDxfId="138">
      <calculatedColumnFormula>IF(Tabla33610673489[[#This Row],[Equity]]&lt;Tabla33610673489[[#This Row],[Equity Peak]],(Tabla33610673489[[#This Row],[Equity Peak]]-Tabla33610673489[[#This Row],[Equity]])/Tabla33610673489[[#This Row],[Equity Peak]],"")</calculatedColumnFormula>
    </tableColumn>
    <tableColumn id="17" xr3:uid="{6979F90E-6CF9-41AF-B1B1-ABA0FCB21631}" name="Currency" dataDxfId="137">
      <calculatedColumnFormula>IF(B17="FX",N17,0)</calculatedColumnFormula>
    </tableColumn>
    <tableColumn id="18" xr3:uid="{06658DD1-6520-4EC1-9CE6-95E06F64CC91}" name="Heat3" dataDxfId="136">
      <calculatedColumnFormula>IF(D17="O",IF(V17&lt;0,V17,0),0)</calculatedColumnFormula>
    </tableColumn>
    <tableColumn id="19" xr3:uid="{5FB277B2-386D-4402-837B-EA650E616424}" name="Commodities" dataDxfId="135">
      <calculatedColumnFormula>IF(B17="COM",N17,0)</calculatedColumnFormula>
    </tableColumn>
    <tableColumn id="20" xr3:uid="{5C7BE74E-F7F1-4315-A7B7-08E1162BD6D9}" name="Heat4" dataDxfId="134">
      <calculatedColumnFormula>IF(D17="O",IF(X17&lt;0,X17,0),0)</calculatedColumnFormula>
    </tableColumn>
    <tableColumn id="21" xr3:uid="{12D25617-2543-43E6-AE08-AA62CF873488}" name="Index" dataDxfId="133">
      <calculatedColumnFormula>IF(B17="IND",N17,0)</calculatedColumnFormula>
    </tableColumn>
    <tableColumn id="22" xr3:uid="{9ABEC3C0-DBA3-4935-B18C-BAEFD7201FC7}" name="Heat5" dataDxfId="132">
      <calculatedColumnFormula>IF(D17="O",IF(Z17&lt;0,Z17,0),0)</calculatedColumnFormula>
    </tableColumn>
    <tableColumn id="27" xr3:uid="{55418DE8-28F4-4F5B-AA7C-47249CE78957}" name="Cryptocurrency" dataDxfId="131">
      <calculatedColumnFormula>IF(B17="CRYPTO",N17,0)</calculatedColumnFormula>
    </tableColumn>
    <tableColumn id="28" xr3:uid="{CBE36B60-65F8-4EC6-872E-B967011C689F}" name="Heat6" dataDxfId="130">
      <calculatedColumnFormula>IF(D17="O",IF(AB17&lt;0,AB17,0),0)</calculatedColumnFormula>
    </tableColumn>
    <tableColumn id="23" xr3:uid="{7ACCB82F-9042-42B9-BCC3-FFF03C909595}" name="Length of _x000a_Trade" dataDxfId="129">
      <calculatedColumnFormula>IF(K17&lt;&gt;"",K17-E17,0)</calculatedColumnFormula>
    </tableColumn>
    <tableColumn id="24" xr3:uid="{F8BA6D8E-C951-4D69-BAF3-0DF90BD3EC5E}" name="Win" dataDxfId="128">
      <calculatedColumnFormula>IF(N17&gt;0,AD17,0)</calculatedColumnFormula>
    </tableColumn>
    <tableColumn id="25" xr3:uid="{282D384C-AB75-4CC3-B2B2-AC2D24FBD8B7}" name="Loss" dataDxfId="127">
      <calculatedColumnFormula>IF(N17&lt;0,AD17,0)</calculatedColumnFormula>
    </tableColumn>
    <tableColumn id="26" xr3:uid="{56EB4FBA-C987-48E0-A9B4-2E455009D843}" name="Breakeven" dataDxfId="126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9" xr:uid="{548464C3-384A-4632-AD06-3E3BF4C9D76C}" name="Tabla336106734810" displayName="Tabla336106734810" ref="B16:AG97" totalsRowShown="0" headerRowDxfId="117" dataDxfId="116">
  <autoFilter ref="B16:AG97" xr:uid="{00000000-0009-0000-0100-000009000000}"/>
  <sortState xmlns:xlrd2="http://schemas.microsoft.com/office/spreadsheetml/2017/richdata2" ref="B17:AG97">
    <sortCondition descending="1" ref="D16:D97"/>
  </sortState>
  <tableColumns count="32">
    <tableColumn id="1" xr3:uid="{298990E8-D8BD-4720-A4C9-51EB7F96E208}" name="Inst" dataDxfId="115"/>
    <tableColumn id="2" xr3:uid="{6A51912E-7EF0-4F7A-9E9D-6E0917E07758}" name="L/S" dataDxfId="114"/>
    <tableColumn id="3" xr3:uid="{EA085394-568D-4EF7-A943-9A25D9349042}" name="O/C" dataDxfId="113">
      <calculatedColumnFormula>IF(E17&lt;&gt;"",IF(K17&lt;&gt;"","C","O"),"")</calculatedColumnFormula>
    </tableColumn>
    <tableColumn id="4" xr3:uid="{5D0D52E0-2786-4DD1-A3EF-1E91DE83EB9C}" name="DATE" dataDxfId="112"/>
    <tableColumn id="5" xr3:uid="{5E685B8B-61ED-45BC-A83E-2B6EEE8A56BA}" name="INST." dataDxfId="111"/>
    <tableColumn id="6" xr3:uid="{6CE941AA-890C-4278-9F76-D71B181D2179}" name="ENTRY " dataDxfId="110"/>
    <tableColumn id="7" xr3:uid="{24006556-A6D7-457F-8244-A8C60307A3B9}" name="STOP " dataDxfId="109"/>
    <tableColumn id="8" xr3:uid="{FF5475CF-43F9-4532-A8C7-30E19C55B2BC}" name="TR_x000a_(in Pips)" dataDxfId="108">
      <calculatedColumnFormula>ABS(G17-H17)</calculatedColumnFormula>
    </tableColumn>
    <tableColumn id="9" xr3:uid="{DFB04AC0-77FC-470C-B845-ED5FA1BEA83E}" name="TARGET" dataDxfId="107"/>
    <tableColumn id="10" xr3:uid="{684F1373-8CE2-47A0-B46D-F5164A05CCE5}" name="DATE2" dataDxfId="106"/>
    <tableColumn id="11" xr3:uid="{DB7EC1AC-2156-4FAA-AF98-7F331047E660}" name="EXIT" dataDxfId="105"/>
    <tableColumn id="12" xr3:uid="{6BF07722-2C56-4057-91E3-0ED790FA9103}" name="RESULT" dataDxfId="104">
      <calculatedColumnFormula>ROUND(IF(C17="L",(L17-G17),(G17-L17)),4)</calculatedColumnFormula>
    </tableColumn>
    <tableColumn id="13" xr3:uid="{AF978F4E-DA74-4B85-93A5-4BC294C97E8F}" name="No. of Rs" dataDxfId="103">
      <calculatedColumnFormula>IFERROR(ROUND((M17/I17),2),"")</calculatedColumnFormula>
    </tableColumn>
    <tableColumn id="14" xr3:uid="{42296D02-EE5F-4AEF-ABA7-31B4933FD0DB}" name="Heat" dataDxfId="102">
      <calculatedColumnFormula>IF(D17="O",IF(N17&lt;0,N17,0),0)</calculatedColumnFormula>
    </tableColumn>
    <tableColumn id="15" xr3:uid="{44AF871E-C29F-4F08-8B2A-D063011CA8F6}" name=" TR WIN" dataDxfId="101">
      <calculatedColumnFormula>IF(N17&gt;= 0,N17,0)</calculatedColumnFormula>
    </tableColumn>
    <tableColumn id="16" xr3:uid="{5A161A08-0860-4E32-A3F5-2AA346FD6261}" name=" TR LOSS" dataDxfId="100">
      <calculatedColumnFormula>IF(N17&lt;0,N17,0)</calculatedColumnFormula>
    </tableColumn>
    <tableColumn id="33" xr3:uid="{05F83F5D-73D1-459D-84E3-022DBCBE7CB0}" name="Initial Losing Trade" dataDxfId="99">
      <calculatedColumnFormula>IF(AND(OFFSET(Tabla336106734810[[#This Row],[Equity]],1,0)="",Tabla336106734810[[#This Row],[No. of Rs]]&lt;0),"Yes",IF(AND(OFFSET(Tabla336106734810[[#This Row],[Initial Losing Trade]],1,0)="Yes",Tabla336106734810[[#This Row],[No. of Rs]]&lt;0),"Yes","No"))</calculatedColumnFormula>
    </tableColumn>
    <tableColumn id="30" xr3:uid="{F9924444-10C7-487B-B02E-64F4A1D00375}" name="Equity" dataDxfId="98">
      <calculatedColumnFormula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calculatedColumnFormula>
    </tableColumn>
    <tableColumn id="32" xr3:uid="{14330FB8-B0DB-4EDA-8E44-4735D83A3F48}" name="Equity Peak" dataDxfId="97">
      <calculatedColumnFormula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calculatedColumnFormula>
    </tableColumn>
    <tableColumn id="31" xr3:uid="{DE73C393-DB7B-4221-8129-754DD53D0B52}" name="Drawdown" dataDxfId="96">
      <calculatedColumnFormula>IF(Tabla336106734810[[#This Row],[Equity]]&lt;Tabla336106734810[[#This Row],[Equity Peak]],(Tabla336106734810[[#This Row],[Equity Peak]]-Tabla336106734810[[#This Row],[Equity]])/Tabla336106734810[[#This Row],[Equity Peak]],"")</calculatedColumnFormula>
    </tableColumn>
    <tableColumn id="17" xr3:uid="{E832EA41-CCF7-4274-B7A7-F37B244136B2}" name="Currency" dataDxfId="95">
      <calculatedColumnFormula>IF(B17="FX",N17,0)</calculatedColumnFormula>
    </tableColumn>
    <tableColumn id="18" xr3:uid="{4D1D7E25-C875-40BA-AFA3-63B485D6CCAD}" name="Heat3" dataDxfId="94">
      <calculatedColumnFormula>IF(D17="O",IF(V17&lt;0,V17,0),0)</calculatedColumnFormula>
    </tableColumn>
    <tableColumn id="19" xr3:uid="{6AD69C0C-A236-4F46-BD44-1866540BE721}" name="Commodities" dataDxfId="93">
      <calculatedColumnFormula>IF(B17="COM",N17,0)</calculatedColumnFormula>
    </tableColumn>
    <tableColumn id="20" xr3:uid="{62440544-E31C-48F7-B0A6-4C90570A8695}" name="Heat4" dataDxfId="92">
      <calculatedColumnFormula>IF(D17="O",IF(X17&lt;0,X17,0),0)</calculatedColumnFormula>
    </tableColumn>
    <tableColumn id="21" xr3:uid="{7165CDF9-8F23-4F73-B840-9197731E888E}" name="Index" dataDxfId="91">
      <calculatedColumnFormula>IF(B17="IND",N17,0)</calculatedColumnFormula>
    </tableColumn>
    <tableColumn id="22" xr3:uid="{1ADDDF1C-22CB-449B-9B58-D23DB881D344}" name="Heat5" dataDxfId="90">
      <calculatedColumnFormula>IF(D17="O",IF(Z17&lt;0,Z17,0),0)</calculatedColumnFormula>
    </tableColumn>
    <tableColumn id="27" xr3:uid="{51AD1466-1544-4D4D-97AC-ABF2DB15718D}" name="Cryptocurrency" dataDxfId="89">
      <calculatedColumnFormula>IF(B17="CRYPTO",N17,0)</calculatedColumnFormula>
    </tableColumn>
    <tableColumn id="28" xr3:uid="{3C0EDA77-1466-4CD9-8804-9803E2B71356}" name="Heat6" dataDxfId="88">
      <calculatedColumnFormula>IF(D17="O",IF(AB17&lt;0,AB17,0),0)</calculatedColumnFormula>
    </tableColumn>
    <tableColumn id="23" xr3:uid="{2CD3BFE0-8262-4810-919E-F980DCC46BC8}" name="Length of _x000a_Trade" dataDxfId="87">
      <calculatedColumnFormula>IF(K17&lt;&gt;"",K17-E17,0)</calculatedColumnFormula>
    </tableColumn>
    <tableColumn id="24" xr3:uid="{8B33B193-6B1F-4787-BCD3-279A4B0DD8DC}" name="Win" dataDxfId="86">
      <calculatedColumnFormula>IF(N17&gt;0,AD17,0)</calculatedColumnFormula>
    </tableColumn>
    <tableColumn id="25" xr3:uid="{230DBCE2-03E1-467C-ABA8-54A3B568751B}" name="Loss" dataDxfId="85">
      <calculatedColumnFormula>IF(N17&lt;0,AD17,0)</calculatedColumnFormula>
    </tableColumn>
    <tableColumn id="26" xr3:uid="{4288B496-5D73-415A-B257-866325B914AF}" name="Breakeven" dataDxfId="84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10" xr:uid="{E77C6D2A-1FDB-41FD-AF1C-1963A7490F74}" name="Tabla336106734811" displayName="Tabla336106734811" ref="B16:AG139" totalsRowShown="0" headerRowDxfId="75" dataDxfId="74">
  <autoFilter ref="B16:AG139" xr:uid="{00000000-0009-0000-0100-000009000000}"/>
  <sortState xmlns:xlrd2="http://schemas.microsoft.com/office/spreadsheetml/2017/richdata2" ref="B17:AG139">
    <sortCondition descending="1" ref="D16:D139"/>
  </sortState>
  <tableColumns count="32">
    <tableColumn id="1" xr3:uid="{FF1E4D5D-EA8E-414A-9586-A4E0841AD60A}" name="Inst" dataDxfId="73"/>
    <tableColumn id="2" xr3:uid="{5FEF7A20-2C02-4C7B-819D-315126E706FA}" name="L/S" dataDxfId="72"/>
    <tableColumn id="3" xr3:uid="{9E32EB8B-F3B0-4D8A-872D-59D492AD9B83}" name="O/C" dataDxfId="71">
      <calculatedColumnFormula>IF(E17&lt;&gt;"",IF(K17&lt;&gt;"","C","O"),"")</calculatedColumnFormula>
    </tableColumn>
    <tableColumn id="4" xr3:uid="{2C2EB770-50EB-457D-B75F-FDFEA71CF28F}" name="DATE" dataDxfId="70"/>
    <tableColumn id="5" xr3:uid="{C788ACE4-6254-4F88-96FB-59066F6B2C1A}" name="INST." dataDxfId="69"/>
    <tableColumn id="6" xr3:uid="{07469194-375A-4E48-87A8-5636749F8782}" name="ENTRY " dataDxfId="68"/>
    <tableColumn id="7" xr3:uid="{EA2F072A-33BD-47D3-A2CA-CD7116B7361E}" name="STOP " dataDxfId="67"/>
    <tableColumn id="8" xr3:uid="{0BC93AD0-F67A-47C4-8DF0-44264358FEA6}" name="TR_x000a_(in Pips)" dataDxfId="66">
      <calculatedColumnFormula>ABS(G17-H17)</calculatedColumnFormula>
    </tableColumn>
    <tableColumn id="9" xr3:uid="{D4BE0477-9071-45AD-B62E-A259B8BD7600}" name="TARGET" dataDxfId="65"/>
    <tableColumn id="10" xr3:uid="{693B6F3C-D122-4CE6-A9A3-BC1838D89746}" name="DATE2" dataDxfId="64"/>
    <tableColumn id="11" xr3:uid="{2B4F6125-9E2C-44E4-8B66-EFF697F7CFD0}" name="EXIT" dataDxfId="63"/>
    <tableColumn id="12" xr3:uid="{DAB7F0CC-EF56-47C5-B7B1-BB6F814B78AD}" name="RESULT" dataDxfId="62">
      <calculatedColumnFormula>ROUND(IF(C17="L",(L17-G17),(G17-L17)),4)</calculatedColumnFormula>
    </tableColumn>
    <tableColumn id="13" xr3:uid="{28DB8BF7-9D3B-4BA9-9B50-64A598BAD451}" name="No. of Rs" dataDxfId="61">
      <calculatedColumnFormula>IFERROR(ROUND((M17/I17),2),"")</calculatedColumnFormula>
    </tableColumn>
    <tableColumn id="14" xr3:uid="{F3D66531-B53E-464F-A0B5-3BEA25466A35}" name="Heat" dataDxfId="60">
      <calculatedColumnFormula>IF(D17="O",IF(N17&lt;0,N17,0),0)</calculatedColumnFormula>
    </tableColumn>
    <tableColumn id="15" xr3:uid="{486CDF2E-CACB-44E1-AA0C-BF7E7D3E55CB}" name=" TR WIN" dataDxfId="59">
      <calculatedColumnFormula>IF(N17&gt;= 0,N17,0)</calculatedColumnFormula>
    </tableColumn>
    <tableColumn id="16" xr3:uid="{E08DBB0B-BBD8-40A2-968B-4A74EE33E028}" name=" TR LOSS" dataDxfId="58">
      <calculatedColumnFormula>IF(N17&lt;0,N17,0)</calculatedColumnFormula>
    </tableColumn>
    <tableColumn id="33" xr3:uid="{04AE0A89-43B3-4DA6-A953-0DAF9CD60527}" name="Initial Losing Trade" dataDxfId="57">
      <calculatedColumnFormula>IF(AND(OFFSET(Tabla336106734811[[#This Row],[Equity]],1,0)="",Tabla336106734811[[#This Row],[No. of Rs]]&lt;0),"Yes",IF(AND(OFFSET(Tabla336106734811[[#This Row],[Initial Losing Trade]],1,0)="Yes",Tabla336106734811[[#This Row],[No. of Rs]]&lt;0),"Yes","No"))</calculatedColumnFormula>
    </tableColumn>
    <tableColumn id="30" xr3:uid="{456A6795-EAFA-4469-AD48-D11105B7CDF4}" name="Equity" dataDxfId="56">
      <calculatedColumnFormula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calculatedColumnFormula>
    </tableColumn>
    <tableColumn id="32" xr3:uid="{F1F127AC-E396-46B3-83FF-4022821D67B3}" name="Equity Peak" dataDxfId="55">
      <calculatedColumnFormula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calculatedColumnFormula>
    </tableColumn>
    <tableColumn id="31" xr3:uid="{64D8F805-D9CD-48E2-BA81-6F3636097B00}" name="Drawdown" dataDxfId="54">
      <calculatedColumnFormula>IF(Tabla336106734811[[#This Row],[Equity]]&lt;Tabla336106734811[[#This Row],[Equity Peak]],(Tabla336106734811[[#This Row],[Equity Peak]]-Tabla336106734811[[#This Row],[Equity]])/Tabla336106734811[[#This Row],[Equity Peak]],"")</calculatedColumnFormula>
    </tableColumn>
    <tableColumn id="17" xr3:uid="{DBCEE32D-A82C-4493-B189-1095E1441A8B}" name="Currency" dataDxfId="53">
      <calculatedColumnFormula>IF(B17="FX",N17,0)</calculatedColumnFormula>
    </tableColumn>
    <tableColumn id="18" xr3:uid="{9A0ECD79-D65B-44D3-A525-974B1926374E}" name="Heat3" dataDxfId="52">
      <calculatedColumnFormula>IF(D17="O",IF(V17&lt;0,V17,0),0)</calculatedColumnFormula>
    </tableColumn>
    <tableColumn id="19" xr3:uid="{45F34A07-626A-4712-BF1A-A167EC7DA6B7}" name="Commodities" dataDxfId="51">
      <calculatedColumnFormula>IF(B17="COM",N17,0)</calculatedColumnFormula>
    </tableColumn>
    <tableColumn id="20" xr3:uid="{4DBA2330-364E-4CAC-9BF3-396A00AC3DBB}" name="Heat4" dataDxfId="50">
      <calculatedColumnFormula>IF(D17="O",IF(X17&lt;0,X17,0),0)</calculatedColumnFormula>
    </tableColumn>
    <tableColumn id="21" xr3:uid="{754809B7-83A4-4406-A130-3BD247541254}" name="Index" dataDxfId="49">
      <calculatedColumnFormula>IF(B17="IND",N17,0)</calculatedColumnFormula>
    </tableColumn>
    <tableColumn id="22" xr3:uid="{CFFB37D0-CC51-496A-BAD5-8D280D6723D9}" name="Heat5" dataDxfId="48">
      <calculatedColumnFormula>IF(D17="O",IF(Z17&lt;0,Z17,0),0)</calculatedColumnFormula>
    </tableColumn>
    <tableColumn id="27" xr3:uid="{C57EA122-F311-409B-9BA2-6EC200C69B24}" name="Cryptocurrency" dataDxfId="47">
      <calculatedColumnFormula>IF(B17="CRYPTO",N17,0)</calculatedColumnFormula>
    </tableColumn>
    <tableColumn id="28" xr3:uid="{FE8D8ACC-73FC-47C6-96B7-445D2EA4F08F}" name="Heat6" dataDxfId="46">
      <calculatedColumnFormula>IF(D17="O",IF(AB17&lt;0,AB17,0),0)</calculatedColumnFormula>
    </tableColumn>
    <tableColumn id="23" xr3:uid="{D56470F7-09E1-4F68-97AD-9369CA7C5DF4}" name="Length of _x000a_Trade" dataDxfId="45">
      <calculatedColumnFormula>IF(K17&lt;&gt;"",K17-E17,0)</calculatedColumnFormula>
    </tableColumn>
    <tableColumn id="24" xr3:uid="{789281FB-83F1-4DAA-96FD-B98D3DF787B8}" name="Win" dataDxfId="44">
      <calculatedColumnFormula>IF(N17&gt;0,AD17,0)</calculatedColumnFormula>
    </tableColumn>
    <tableColumn id="25" xr3:uid="{300EAEF3-513E-4EED-9356-F72C4E7B501C}" name="Loss" dataDxfId="43">
      <calculatedColumnFormula>IF(N17&lt;0,AD17,0)</calculatedColumnFormula>
    </tableColumn>
    <tableColumn id="26" xr3:uid="{469AEFE2-940B-4F5C-8749-FAC56C1E312B}" name="Breakeven" dataDxfId="42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11" xr:uid="{74E817CC-D324-4089-A4D3-70736BAFDBED}" name="Tabla336106734812" displayName="Tabla336106734812" ref="B16:AG213" totalsRowShown="0" headerRowDxfId="33" dataDxfId="32">
  <autoFilter ref="B16:AG213" xr:uid="{00000000-0009-0000-0100-000009000000}"/>
  <sortState xmlns:xlrd2="http://schemas.microsoft.com/office/spreadsheetml/2017/richdata2" ref="B17:AG213">
    <sortCondition descending="1" ref="D16:D213"/>
  </sortState>
  <tableColumns count="32">
    <tableColumn id="1" xr3:uid="{53A972DA-7383-49EE-84EA-858DC559D742}" name="Inst" dataDxfId="31"/>
    <tableColumn id="2" xr3:uid="{CB02D374-1F1E-4926-A81C-5B7FE8183078}" name="L/S" dataDxfId="30"/>
    <tableColumn id="3" xr3:uid="{FAE8484F-9320-4B8E-B715-15D1F9A9CBE2}" name="O/C" dataDxfId="29">
      <calculatedColumnFormula>IF(E17&lt;&gt;"",IF(K17&lt;&gt;"","C","O"),"")</calculatedColumnFormula>
    </tableColumn>
    <tableColumn id="4" xr3:uid="{F963E4A7-4FA7-444C-A44E-B85CEBAB164B}" name="DATE" dataDxfId="28"/>
    <tableColumn id="5" xr3:uid="{311CA312-A860-400B-A894-FCB33BA6C06C}" name="INST." dataDxfId="27"/>
    <tableColumn id="6" xr3:uid="{0F50911E-8AA0-46D2-A520-FA14D0425371}" name="ENTRY " dataDxfId="26"/>
    <tableColumn id="7" xr3:uid="{47B4BF33-B8E3-4FC6-BE42-A17F8566A7DC}" name="STOP " dataDxfId="25"/>
    <tableColumn id="8" xr3:uid="{A2DCF3E4-FF53-4661-A898-8347BD06BB33}" name="TR_x000a_(in Pips)" dataDxfId="24">
      <calculatedColumnFormula>ABS(G17-H17)</calculatedColumnFormula>
    </tableColumn>
    <tableColumn id="9" xr3:uid="{E49B9930-BB18-46DD-B899-94A8A6AC8908}" name="TARGET" dataDxfId="23"/>
    <tableColumn id="10" xr3:uid="{3E6C6DA6-9D96-44CD-8EFE-952EE68B20E0}" name="DATE2" dataDxfId="22"/>
    <tableColumn id="11" xr3:uid="{FF9754C7-EFF1-4FF5-BC0D-5CFB5DE3E015}" name="EXIT" dataDxfId="21"/>
    <tableColumn id="12" xr3:uid="{32A8C413-A8D3-41B4-BFFB-C86378094E18}" name="RESULT" dataDxfId="20">
      <calculatedColumnFormula>ROUND(IF(C17="L",(L17-G17),(G17-L17)),4)</calculatedColumnFormula>
    </tableColumn>
    <tableColumn id="13" xr3:uid="{5E472420-A60E-42F0-9E7A-1B27F3F0901A}" name="No. of Rs" dataDxfId="19">
      <calculatedColumnFormula>IFERROR(ROUND((M17/I17),2),"")</calculatedColumnFormula>
    </tableColumn>
    <tableColumn id="14" xr3:uid="{BE9FE3F6-5D17-406E-82E6-33867DB59770}" name="Heat" dataDxfId="18">
      <calculatedColumnFormula>IF(D17="O",IF(N17&lt;0,N17,0),0)</calculatedColumnFormula>
    </tableColumn>
    <tableColumn id="15" xr3:uid="{D2FDBC9C-C1EA-40D0-867A-3BB05819BE16}" name=" TR WIN" dataDxfId="17">
      <calculatedColumnFormula>IF(N17&gt;= 0,N17,0)</calculatedColumnFormula>
    </tableColumn>
    <tableColumn id="16" xr3:uid="{B4587BD9-50D7-4093-B1E3-7EF934A589F1}" name=" TR LOSS" dataDxfId="16">
      <calculatedColumnFormula>IF(N17&lt;0,N17,0)</calculatedColumnFormula>
    </tableColumn>
    <tableColumn id="33" xr3:uid="{DC329D3D-8B88-4763-B5C8-58D1A0177D16}" name="Initial Losing Trade" dataDxfId="15">
      <calculatedColumnFormula>IF(AND(OFFSET(Tabla336106734812[[#This Row],[Equity]],1,0)="",Tabla336106734812[[#This Row],[No. of Rs]]&lt;0),"Yes",IF(AND(OFFSET(Tabla336106734812[[#This Row],[Initial Losing Trade]],1,0)="Yes",Tabla336106734812[[#This Row],[No. of Rs]]&lt;0),"Yes","No"))</calculatedColumnFormula>
    </tableColumn>
    <tableColumn id="30" xr3:uid="{3BDB2B29-2471-4DF7-B0AE-00BE70501A99}" name="Equity" dataDxfId="14">
      <calculatedColumnFormula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calculatedColumnFormula>
    </tableColumn>
    <tableColumn id="32" xr3:uid="{84E24910-D7F4-49BE-A6D5-3CE907036A5F}" name="Equity Peak" dataDxfId="13">
      <calculatedColumnFormula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calculatedColumnFormula>
    </tableColumn>
    <tableColumn id="31" xr3:uid="{CD81295E-4CCD-4A3C-A4CE-0E91FBD415DA}" name="Drawdown" dataDxfId="12">
      <calculatedColumnFormula>IF(Tabla336106734812[[#This Row],[Equity]]&lt;Tabla336106734812[[#This Row],[Equity Peak]],(Tabla336106734812[[#This Row],[Equity Peak]]-Tabla336106734812[[#This Row],[Equity]])/Tabla336106734812[[#This Row],[Equity Peak]],"")</calculatedColumnFormula>
    </tableColumn>
    <tableColumn id="17" xr3:uid="{CEC67D3F-EA1C-49E3-93F2-DC8033E500A9}" name="Currency" dataDxfId="11">
      <calculatedColumnFormula>IF(B17="FX",N17,0)</calculatedColumnFormula>
    </tableColumn>
    <tableColumn id="18" xr3:uid="{C2FEBD76-7980-48D2-9401-70A3A37CD167}" name="Heat3" dataDxfId="10">
      <calculatedColumnFormula>IF(D17="O",IF(V17&lt;0,V17,0),0)</calculatedColumnFormula>
    </tableColumn>
    <tableColumn id="19" xr3:uid="{C1358CE8-457E-4BAB-A3EA-72D8F9DE0EDD}" name="Commodities" dataDxfId="9">
      <calculatedColumnFormula>IF(B17="COM",N17,0)</calculatedColumnFormula>
    </tableColumn>
    <tableColumn id="20" xr3:uid="{EA29754C-BEA1-49D0-8007-A1345A1F4E5E}" name="Heat4" dataDxfId="8">
      <calculatedColumnFormula>IF(D17="O",IF(X17&lt;0,X17,0),0)</calculatedColumnFormula>
    </tableColumn>
    <tableColumn id="21" xr3:uid="{77779734-1687-4949-BBE2-FC716C6D282A}" name="Index" dataDxfId="7">
      <calculatedColumnFormula>IF(B17="IND",N17,0)</calculatedColumnFormula>
    </tableColumn>
    <tableColumn id="22" xr3:uid="{5191A4A2-3172-435F-81BB-3CAB9AD645A9}" name="Heat5" dataDxfId="6">
      <calculatedColumnFormula>IF(D17="O",IF(Z17&lt;0,Z17,0),0)</calculatedColumnFormula>
    </tableColumn>
    <tableColumn id="27" xr3:uid="{3BC0364D-B57E-4968-A828-B676E1271C08}" name="Cryptocurrency" dataDxfId="5">
      <calculatedColumnFormula>IF(B17="CRYPTO",N17,0)</calculatedColumnFormula>
    </tableColumn>
    <tableColumn id="28" xr3:uid="{34E7642A-D014-4D90-855D-A3532FB0B2F5}" name="Heat6" dataDxfId="4">
      <calculatedColumnFormula>IF(D17="O",IF(AB17&lt;0,AB17,0),0)</calculatedColumnFormula>
    </tableColumn>
    <tableColumn id="23" xr3:uid="{07D34815-28C7-4171-9B9D-DBDB27D1F75A}" name="Length of _x000a_Trade" dataDxfId="3">
      <calculatedColumnFormula>IF(K17&lt;&gt;"",K17-E17,0)</calculatedColumnFormula>
    </tableColumn>
    <tableColumn id="24" xr3:uid="{5AC12D34-9D0C-4F9A-81DD-FF818C82681B}" name="Win" dataDxfId="2">
      <calculatedColumnFormula>IF(N17&gt;0,AD17,0)</calculatedColumnFormula>
    </tableColumn>
    <tableColumn id="25" xr3:uid="{5FBB941C-4CAA-461D-A7F6-58C8493F5889}" name="Loss" dataDxfId="1">
      <calculatedColumnFormula>IF(N17&lt;0,AD17,0)</calculatedColumnFormula>
    </tableColumn>
    <tableColumn id="26" xr3:uid="{723FEC19-3F43-4741-B9F0-40D6062E787A}" name="Breakeven" dataDxfId="0">
      <calculatedColumnFormula>IF(N17=0,AD17,0)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tint val="100%"/>
                <a:shade val="100%"/>
                <a:satMod val="130%"/>
              </a:schemeClr>
            </a:gs>
            <a:gs pos="100%">
              <a:schemeClr val="phClr">
                <a:tint val="50%"/>
                <a:shade val="100%"/>
                <a:satMod val="350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table" Target="../tables/table1.x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purl.oclc.org/ooxml/officeDocument/relationships/table" Target="../tables/table3.xml"/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purl.oclc.org/ooxml/officeDocument/relationships/table" Target="../tables/table4.xml"/><Relationship Id="rId2" Type="http://purl.oclc.org/ooxml/officeDocument/relationships/drawing" Target="../drawings/drawing3.xml"/><Relationship Id="rId1" Type="http://purl.oclc.org/ooxml/officeDocument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purl.oclc.org/ooxml/officeDocument/relationships/table" Target="../tables/table5.xml"/><Relationship Id="rId2" Type="http://purl.oclc.org/ooxml/officeDocument/relationships/drawing" Target="../drawings/drawing4.xml"/><Relationship Id="rId1" Type="http://purl.oclc.org/ooxml/officeDocument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purl.oclc.org/ooxml/officeDocument/relationships/table" Target="../tables/table6.xml"/><Relationship Id="rId2" Type="http://purl.oclc.org/ooxml/officeDocument/relationships/drawing" Target="../drawings/drawing5.xml"/><Relationship Id="rId1" Type="http://purl.oclc.org/ooxml/officeDocument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purl.oclc.org/ooxml/officeDocument/relationships/table" Target="../tables/table7.xml"/><Relationship Id="rId2" Type="http://purl.oclc.org/ooxml/officeDocument/relationships/drawing" Target="../drawings/drawing6.xml"/><Relationship Id="rId1" Type="http://purl.oclc.org/ooxml/officeDocument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purl.oclc.org/ooxml/officeDocument/relationships/table" Target="../tables/table8.xml"/><Relationship Id="rId2" Type="http://purl.oclc.org/ooxml/officeDocument/relationships/drawing" Target="../drawings/drawing7.xml"/><Relationship Id="rId1" Type="http://purl.oclc.org/ooxml/officeDocument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purl.oclc.org/ooxml/officeDocument/relationships/table" Target="../tables/table9.xml"/><Relationship Id="rId2" Type="http://purl.oclc.org/ooxml/officeDocument/relationships/drawing" Target="../drawings/drawing8.xml"/><Relationship Id="rId1" Type="http://purl.oclc.org/ooxml/officeDocument/relationships/printerSettings" Target="../printerSettings/printerSettings8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13C3-47FF-4FE9-8595-476BF59175BE}">
  <sheetPr codeName="Hoja8">
    <pageSetUpPr fitToPage="1"/>
  </sheetPr>
  <dimension ref="A1:AX777"/>
  <sheetViews>
    <sheetView showGridLines="0" showZeros="0" zoomScale="91" zoomScaleNormal="91" zoomScalePageLayoutView="99" workbookViewId="0">
      <pane ySplit="16" topLeftCell="A17" activePane="bottomLeft" state="frozen"/>
      <selection pane="bottomLeft" activeCell="E2" sqref="E2:N5"/>
    </sheetView>
  </sheetViews>
  <sheetFormatPr baseColWidth="10" defaultColWidth="0" defaultRowHeight="15" customHeight="1" x14ac:dyDescent="0.15"/>
  <cols>
    <col min="1" max="1" width="2.33203125" style="117" customWidth="1"/>
    <col min="2" max="2" width="10.33203125" style="88" customWidth="1"/>
    <col min="3" max="3" width="12.6640625" style="90" customWidth="1"/>
    <col min="4" max="4" width="8.6640625" style="91" customWidth="1"/>
    <col min="5" max="5" width="13.6640625" style="107" customWidth="1"/>
    <col min="6" max="6" width="8.33203125" style="88" customWidth="1"/>
    <col min="7" max="7" width="10.6640625" style="88" bestFit="1" customWidth="1"/>
    <col min="8" max="8" width="9.83203125" style="88" bestFit="1" customWidth="1"/>
    <col min="9" max="9" width="15.33203125" style="88" customWidth="1"/>
    <col min="10" max="10" width="12.83203125" style="88" customWidth="1"/>
    <col min="11" max="11" width="12.6640625" style="107" customWidth="1"/>
    <col min="12" max="12" width="10.33203125" style="88" customWidth="1"/>
    <col min="13" max="13" width="10.1640625" style="89" customWidth="1"/>
    <col min="14" max="14" width="12.1640625" style="89" customWidth="1"/>
    <col min="15" max="15" width="8.6640625" style="89" hidden="1" customWidth="1"/>
    <col min="16" max="16" width="10.33203125" style="89" customWidth="1"/>
    <col min="17" max="17" width="11" style="89" customWidth="1"/>
    <col min="18" max="18" width="11" style="89" hidden="1" customWidth="1"/>
    <col min="19" max="20" width="11" style="96" hidden="1" customWidth="1"/>
    <col min="21" max="21" width="11" style="102" hidden="1" customWidth="1"/>
    <col min="22" max="22" width="9.33203125" style="89" bestFit="1" customWidth="1"/>
    <col min="23" max="23" width="9.33203125" style="89" hidden="1" customWidth="1"/>
    <col min="24" max="24" width="7.6640625" style="89" customWidth="1"/>
    <col min="25" max="25" width="9.33203125" style="89" hidden="1" customWidth="1"/>
    <col min="26" max="26" width="8.1640625" style="89" bestFit="1" customWidth="1"/>
    <col min="27" max="27" width="8.33203125" style="89" hidden="1" customWidth="1"/>
    <col min="28" max="28" width="8.1640625" style="89" customWidth="1"/>
    <col min="29" max="29" width="8.1640625" style="89" hidden="1" customWidth="1"/>
    <col min="30" max="30" width="9.6640625" style="89" customWidth="1"/>
    <col min="31" max="31" width="8.1640625" style="89" customWidth="1"/>
    <col min="32" max="32" width="8" style="89" customWidth="1"/>
    <col min="33" max="33" width="6.6640625" style="88" customWidth="1"/>
    <col min="34" max="34" width="2.5" style="117" customWidth="1"/>
    <col min="35" max="35" width="7.33203125" style="87" hidden="1" customWidth="1"/>
    <col min="36" max="41" width="2.6640625" style="88" hidden="1" customWidth="1"/>
    <col min="42" max="42" width="4.6640625" style="88" hidden="1" customWidth="1"/>
    <col min="43" max="43" width="7.6640625" style="88" hidden="1" customWidth="1"/>
    <col min="44" max="44" width="8.6640625" style="88" hidden="1" customWidth="1"/>
    <col min="45" max="45" width="12.33203125" style="88" hidden="1" customWidth="1"/>
    <col min="46" max="46" width="2.1640625" style="88" hidden="1" customWidth="1"/>
    <col min="47" max="47" width="2.6640625" style="88" hidden="1" customWidth="1"/>
    <col min="48" max="50" width="39.33203125" style="88" hidden="1" customWidth="1"/>
    <col min="51" max="16384" width="2.6640625" style="88" hidden="1"/>
  </cols>
  <sheetData>
    <row r="1" spans="1:48" s="87" customFormat="1" ht="15" customHeight="1" x14ac:dyDescent="0.15">
      <c r="A1" s="116"/>
      <c r="B1" s="119"/>
      <c r="C1" s="118"/>
      <c r="D1" s="118"/>
      <c r="E1" s="120"/>
      <c r="F1" s="116"/>
      <c r="G1" s="116"/>
      <c r="H1" s="116"/>
      <c r="I1" s="116"/>
      <c r="J1" s="116"/>
      <c r="K1" s="120"/>
      <c r="L1" s="121"/>
      <c r="M1" s="122"/>
      <c r="N1" s="122"/>
      <c r="O1" s="2"/>
      <c r="P1" s="134"/>
      <c r="Q1" s="134"/>
      <c r="R1" s="134"/>
      <c r="S1" s="135"/>
      <c r="T1" s="135"/>
      <c r="U1" s="136"/>
      <c r="V1" s="134"/>
      <c r="W1" s="134"/>
      <c r="X1" s="134"/>
      <c r="Y1" s="134"/>
      <c r="Z1" s="134"/>
      <c r="AA1" s="134"/>
      <c r="AB1" s="147"/>
      <c r="AC1" s="1"/>
      <c r="AD1" s="147"/>
      <c r="AE1" s="147"/>
      <c r="AF1" s="147"/>
      <c r="AG1" s="147"/>
      <c r="AH1" s="147"/>
    </row>
    <row r="2" spans="1:48" ht="15" customHeight="1" thickBot="1" x14ac:dyDescent="0.2">
      <c r="B2" s="117"/>
      <c r="C2" s="118"/>
      <c r="D2" s="123"/>
      <c r="E2" s="189" t="s">
        <v>104</v>
      </c>
      <c r="F2" s="189"/>
      <c r="G2" s="189"/>
      <c r="H2" s="189"/>
      <c r="I2" s="189"/>
      <c r="J2" s="189"/>
      <c r="K2" s="189"/>
      <c r="L2" s="189"/>
      <c r="M2" s="189"/>
      <c r="N2" s="189"/>
      <c r="O2" s="115"/>
      <c r="P2" s="137"/>
      <c r="Q2" s="137"/>
      <c r="R2" s="138"/>
      <c r="S2" s="139"/>
      <c r="T2" s="139"/>
      <c r="U2" s="140"/>
      <c r="V2" s="141"/>
      <c r="W2" s="141"/>
      <c r="X2" s="141"/>
      <c r="Y2" s="141"/>
      <c r="Z2" s="141"/>
      <c r="AA2" s="141"/>
      <c r="AB2" s="141"/>
      <c r="AC2" s="3"/>
      <c r="AD2" s="147"/>
      <c r="AE2" s="147"/>
      <c r="AF2" s="147"/>
      <c r="AG2" s="147"/>
      <c r="AH2" s="141"/>
    </row>
    <row r="3" spans="1:48" ht="15" customHeight="1" thickBot="1" x14ac:dyDescent="0.2">
      <c r="B3" s="117"/>
      <c r="C3" s="124"/>
      <c r="D3" s="123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15"/>
      <c r="P3" s="137"/>
      <c r="Q3" s="137"/>
      <c r="R3" s="138"/>
      <c r="S3" s="139"/>
      <c r="T3" s="139"/>
      <c r="U3" s="140"/>
      <c r="V3" s="141"/>
      <c r="W3" s="141"/>
      <c r="X3" s="141"/>
      <c r="Y3" s="141"/>
      <c r="Z3" s="141"/>
      <c r="AA3" s="141"/>
      <c r="AB3" s="141"/>
      <c r="AC3" s="3"/>
      <c r="AD3" s="4" t="s">
        <v>76</v>
      </c>
      <c r="AE3" s="5"/>
      <c r="AF3" s="4" t="s">
        <v>17</v>
      </c>
      <c r="AG3" s="6"/>
    </row>
    <row r="4" spans="1:48" ht="15" customHeight="1" x14ac:dyDescent="0.15">
      <c r="B4" s="117"/>
      <c r="C4" s="124"/>
      <c r="D4" s="123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15"/>
      <c r="P4" s="137"/>
      <c r="Q4" s="137"/>
      <c r="R4" s="138"/>
      <c r="S4" s="139"/>
      <c r="T4" s="139"/>
      <c r="U4" s="140"/>
      <c r="V4" s="141"/>
      <c r="W4" s="141"/>
      <c r="X4" s="141"/>
      <c r="Y4" s="141"/>
      <c r="Z4" s="141"/>
      <c r="AA4" s="141"/>
      <c r="AB4" s="141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88">
        <f>+IF(F13="OK",1,0)</f>
        <v>1</v>
      </c>
    </row>
    <row r="5" spans="1:48" ht="15" customHeight="1" thickBot="1" x14ac:dyDescent="0.2">
      <c r="B5" s="117"/>
      <c r="C5" s="124"/>
      <c r="D5" s="123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15"/>
      <c r="P5" s="137"/>
      <c r="Q5" s="137"/>
      <c r="R5" s="138"/>
      <c r="S5" s="139"/>
      <c r="T5" s="139"/>
      <c r="U5" s="140"/>
      <c r="V5" s="148" t="s">
        <v>7</v>
      </c>
      <c r="W5" s="134"/>
      <c r="X5" s="148" t="s">
        <v>6</v>
      </c>
      <c r="Y5" s="149"/>
      <c r="Z5" s="148" t="s">
        <v>5</v>
      </c>
      <c r="AA5" s="149"/>
      <c r="AB5" s="148" t="s">
        <v>73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88">
        <f>+IF(AS4=1,0,1)</f>
        <v>0</v>
      </c>
    </row>
    <row r="6" spans="1:48" ht="33" customHeight="1" thickBot="1" x14ac:dyDescent="0.2">
      <c r="B6" s="117"/>
      <c r="C6" s="124"/>
      <c r="D6" s="125"/>
      <c r="E6" s="108" t="s">
        <v>10</v>
      </c>
      <c r="F6" s="14">
        <f>COUNTA(Tabla33610673[Inst])</f>
        <v>761</v>
      </c>
      <c r="G6" s="15" t="s">
        <v>9</v>
      </c>
      <c r="H6" s="15" t="s">
        <v>8</v>
      </c>
      <c r="I6" s="15" t="s">
        <v>61</v>
      </c>
      <c r="J6" s="77" t="s">
        <v>62</v>
      </c>
      <c r="K6" s="127"/>
      <c r="L6" s="199" t="s">
        <v>100</v>
      </c>
      <c r="M6" s="200"/>
      <c r="N6" s="203">
        <f>N13</f>
        <v>176.09000000000009</v>
      </c>
      <c r="O6" s="16"/>
      <c r="P6" s="141"/>
      <c r="Q6" s="142" t="s">
        <v>47</v>
      </c>
      <c r="R6" s="142"/>
      <c r="S6" s="143"/>
      <c r="T6" s="143"/>
      <c r="U6" s="144"/>
      <c r="V6" s="17">
        <f>+V13</f>
        <v>61.06</v>
      </c>
      <c r="W6" s="18"/>
      <c r="X6" s="17">
        <f>+X13</f>
        <v>10.119999999999996</v>
      </c>
      <c r="Y6" s="19"/>
      <c r="Z6" s="17">
        <f>+Z13</f>
        <v>104.91000000000004</v>
      </c>
      <c r="AA6" s="19"/>
      <c r="AB6" s="17">
        <f>+AB13</f>
        <v>0</v>
      </c>
      <c r="AC6" s="84"/>
      <c r="AD6" s="11" t="s">
        <v>18</v>
      </c>
      <c r="AE6" s="12" t="s">
        <v>5</v>
      </c>
      <c r="AF6" s="20"/>
      <c r="AG6" s="22"/>
    </row>
    <row r="7" spans="1:48" ht="15" customHeight="1" thickBot="1" x14ac:dyDescent="0.2">
      <c r="B7" s="117"/>
      <c r="C7" s="118"/>
      <c r="D7" s="117"/>
      <c r="E7" s="109" t="s">
        <v>4</v>
      </c>
      <c r="F7" s="23">
        <f>COUNTIF(Tabla33610673[No. of Rs],"&gt;0")</f>
        <v>287</v>
      </c>
      <c r="G7" s="24">
        <f>IFERROR((F7/$F$6),"")</f>
        <v>0.37713534822601841</v>
      </c>
      <c r="H7" s="78">
        <f>IFERROR((+P13/F7),"")</f>
        <v>1.905435540069687</v>
      </c>
      <c r="I7" s="205">
        <f>H7/H9</f>
        <v>2.4308088854356118</v>
      </c>
      <c r="J7" s="205">
        <f>AVERAGE(Tabla33610673[No. of Rs])</f>
        <v>0.23139290407358751</v>
      </c>
      <c r="K7" s="127"/>
      <c r="L7" s="201"/>
      <c r="M7" s="202"/>
      <c r="N7" s="204"/>
      <c r="O7" s="16"/>
      <c r="P7" s="141"/>
      <c r="Q7" s="142" t="s">
        <v>2</v>
      </c>
      <c r="R7" s="142"/>
      <c r="S7" s="143"/>
      <c r="T7" s="143"/>
      <c r="U7" s="144"/>
      <c r="V7" s="26">
        <f>IFERROR((V6/N6),"")</f>
        <v>0.34675450053949669</v>
      </c>
      <c r="W7" s="27"/>
      <c r="X7" s="26">
        <f>IFERROR((X6/N6),"")</f>
        <v>5.7470611619058386E-2</v>
      </c>
      <c r="Y7" s="28"/>
      <c r="Z7" s="26">
        <f>IFERROR((Z6/N6),"")</f>
        <v>0.59577488784144461</v>
      </c>
      <c r="AA7" s="28"/>
      <c r="AB7" s="26">
        <f>IFERROR((AB6/N6),"")</f>
        <v>0</v>
      </c>
      <c r="AC7" s="85"/>
      <c r="AD7" s="20" t="s">
        <v>75</v>
      </c>
      <c r="AE7" s="21" t="s">
        <v>73</v>
      </c>
      <c r="AF7" s="4" t="s">
        <v>37</v>
      </c>
      <c r="AG7" s="6"/>
    </row>
    <row r="8" spans="1:48" ht="23" customHeight="1" thickBot="1" x14ac:dyDescent="0.2">
      <c r="B8" s="117"/>
      <c r="C8" s="118"/>
      <c r="D8" s="117"/>
      <c r="E8" s="109" t="s">
        <v>3</v>
      </c>
      <c r="F8" s="23">
        <f>COUNTIF(Tabla33610673[No. of Rs],"=0")</f>
        <v>1</v>
      </c>
      <c r="G8" s="24">
        <f>IFERROR((F8/$F$6),"")</f>
        <v>1.3140604467805519E-3</v>
      </c>
      <c r="H8" s="78"/>
      <c r="I8" s="206"/>
      <c r="J8" s="206"/>
      <c r="K8" s="141"/>
      <c r="L8" s="190" t="s">
        <v>101</v>
      </c>
      <c r="M8" s="191"/>
      <c r="N8" s="173">
        <f ca="1">OFFSET(Tabla33610673[[#Headers],[Equity]],1,0)</f>
        <v>69022.5</v>
      </c>
      <c r="O8" s="16"/>
      <c r="P8" s="141"/>
      <c r="Q8" s="142" t="s">
        <v>63</v>
      </c>
      <c r="R8" s="142"/>
      <c r="S8" s="143"/>
      <c r="T8" s="143"/>
      <c r="U8" s="144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86"/>
      <c r="AD8" s="141"/>
      <c r="AE8" s="141"/>
      <c r="AF8" s="7" t="s">
        <v>31</v>
      </c>
      <c r="AG8" s="9" t="s">
        <v>33</v>
      </c>
    </row>
    <row r="9" spans="1:48" ht="15" customHeight="1" thickBot="1" x14ac:dyDescent="0.2">
      <c r="B9" s="117"/>
      <c r="C9" s="118"/>
      <c r="D9" s="126"/>
      <c r="E9" s="110" t="s">
        <v>1</v>
      </c>
      <c r="F9" s="31">
        <f>COUNTIF(Tabla33610673[No. of Rs],"&lt;0")</f>
        <v>473</v>
      </c>
      <c r="G9" s="32">
        <f>IFERROR((F9/$F$6),"")</f>
        <v>0.62155059132720103</v>
      </c>
      <c r="H9" s="79">
        <f>IFERROR((-Q13/F9),"")</f>
        <v>0.78386892177589862</v>
      </c>
      <c r="I9" s="207"/>
      <c r="J9" s="207"/>
      <c r="K9" s="127"/>
      <c r="L9" s="208" t="s">
        <v>95</v>
      </c>
      <c r="M9" s="209"/>
      <c r="N9" s="103">
        <f ca="1">MAX(Tabla33610673[Drawdown])</f>
        <v>0.13207010895310278</v>
      </c>
      <c r="O9" s="16"/>
      <c r="P9" s="141"/>
      <c r="Q9" s="142" t="s">
        <v>60</v>
      </c>
      <c r="R9" s="142"/>
      <c r="S9" s="143"/>
      <c r="T9" s="143"/>
      <c r="U9" s="144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86"/>
      <c r="AD9" s="141"/>
      <c r="AE9" s="141"/>
      <c r="AF9" s="11" t="s">
        <v>32</v>
      </c>
      <c r="AG9" s="13" t="s">
        <v>34</v>
      </c>
    </row>
    <row r="10" spans="1:48" ht="15" customHeight="1" thickBot="1" x14ac:dyDescent="0.2">
      <c r="B10" s="117"/>
      <c r="C10" s="118"/>
      <c r="D10" s="126"/>
      <c r="E10" s="127"/>
      <c r="F10" s="117"/>
      <c r="G10" s="141"/>
      <c r="H10" s="141"/>
      <c r="I10" s="141"/>
      <c r="J10" s="141"/>
      <c r="K10" s="155"/>
      <c r="L10" s="208" t="s">
        <v>99</v>
      </c>
      <c r="M10" s="209"/>
      <c r="N10" s="103" t="str">
        <f ca="1">OFFSET(Tabla33610673[[#Headers],[Drawdown]],1,0)</f>
        <v/>
      </c>
      <c r="O10" s="25"/>
      <c r="P10" s="141"/>
      <c r="Q10" s="141"/>
      <c r="R10" s="141"/>
      <c r="S10" s="145"/>
      <c r="T10" s="145"/>
      <c r="U10" s="146"/>
      <c r="V10" s="37" t="s">
        <v>53</v>
      </c>
      <c r="W10" s="38"/>
      <c r="X10" s="38">
        <f>COUNTIF(Tabla33610673[Heat],"&lt;0")</f>
        <v>0</v>
      </c>
      <c r="Y10" s="38"/>
      <c r="Z10" s="39" t="s">
        <v>54</v>
      </c>
      <c r="AA10" s="38"/>
      <c r="AB10" s="38"/>
      <c r="AC10" s="38"/>
      <c r="AD10" s="141"/>
      <c r="AE10" s="141"/>
      <c r="AF10" s="20"/>
      <c r="AG10" s="22"/>
    </row>
    <row r="11" spans="1:48" ht="15" customHeight="1" thickBot="1" x14ac:dyDescent="0.2">
      <c r="B11" s="117"/>
      <c r="C11" s="118"/>
      <c r="D11" s="126"/>
      <c r="E11" s="111" t="s">
        <v>64</v>
      </c>
      <c r="F11" s="81">
        <v>25000</v>
      </c>
      <c r="G11" s="141"/>
      <c r="H11" s="192" t="s">
        <v>46</v>
      </c>
      <c r="I11" s="193"/>
      <c r="J11" s="80">
        <v>12</v>
      </c>
      <c r="K11" s="141"/>
      <c r="L11" s="141"/>
      <c r="M11" s="141"/>
      <c r="N11" s="141"/>
      <c r="O11" s="141"/>
      <c r="P11" s="141"/>
      <c r="Q11" s="141"/>
      <c r="R11" s="141"/>
      <c r="S11" s="145"/>
      <c r="T11" s="145"/>
      <c r="U11" s="146"/>
      <c r="V11" s="141"/>
      <c r="W11" s="141"/>
      <c r="X11" s="141"/>
      <c r="Y11" s="141"/>
      <c r="Z11" s="141"/>
      <c r="AA11" s="141"/>
      <c r="AB11" s="141"/>
      <c r="AC11" s="3"/>
      <c r="AD11" s="153"/>
      <c r="AE11" s="153"/>
      <c r="AF11" s="153"/>
      <c r="AG11" s="141"/>
      <c r="AH11" s="141"/>
    </row>
    <row r="12" spans="1:48" ht="15" customHeight="1" thickBot="1" x14ac:dyDescent="0.2">
      <c r="B12" s="117"/>
      <c r="C12" s="118"/>
      <c r="D12" s="117"/>
      <c r="E12" s="128"/>
      <c r="F12" s="117"/>
      <c r="G12" s="141"/>
      <c r="H12" s="194" t="s">
        <v>65</v>
      </c>
      <c r="I12" s="195"/>
      <c r="J12" s="82" t="str">
        <f>IF(COUNTIFS(Tabla33610673[O/C],"O")&lt;1,"None",COUNTIFS(Tabla33610673[O/C],"O"))</f>
        <v>None</v>
      </c>
      <c r="K12" s="155"/>
      <c r="L12" s="117"/>
      <c r="M12" s="117"/>
      <c r="N12" s="117"/>
      <c r="O12" s="117"/>
      <c r="P12" s="117"/>
      <c r="Q12" s="117"/>
      <c r="R12" s="117"/>
      <c r="S12" s="132"/>
      <c r="T12" s="132"/>
      <c r="U12" s="133"/>
      <c r="V12" s="141"/>
      <c r="W12" s="150"/>
      <c r="X12" s="151"/>
      <c r="Y12" s="151"/>
      <c r="Z12" s="152"/>
      <c r="AA12" s="151"/>
      <c r="AB12" s="152"/>
      <c r="AC12" s="40"/>
      <c r="AD12" s="196" t="s">
        <v>42</v>
      </c>
      <c r="AE12" s="197"/>
      <c r="AF12" s="197"/>
      <c r="AG12" s="198"/>
      <c r="AP12" s="89"/>
      <c r="AQ12" s="89"/>
      <c r="AR12" s="89"/>
      <c r="AS12" s="89"/>
      <c r="AT12" s="89"/>
      <c r="AV12" s="88" t="s">
        <v>12</v>
      </c>
    </row>
    <row r="13" spans="1:48" ht="15" customHeight="1" thickBot="1" x14ac:dyDescent="0.2">
      <c r="B13" s="117"/>
      <c r="C13" s="118"/>
      <c r="D13" s="117"/>
      <c r="E13" s="112" t="s">
        <v>0</v>
      </c>
      <c r="F13" s="41" t="str">
        <f>IF((+F6-SUM(F7:F9))&lt;&gt;0,"ERROR!!","OK")</f>
        <v>OK</v>
      </c>
      <c r="G13" s="141"/>
      <c r="H13" s="141"/>
      <c r="I13" s="141"/>
      <c r="J13" s="156"/>
      <c r="K13" s="155"/>
      <c r="L13" s="117"/>
      <c r="M13" s="117"/>
      <c r="N13" s="74">
        <f>SUM(Tabla33610673[No. of Rs])</f>
        <v>176.09000000000009</v>
      </c>
      <c r="O13" s="42">
        <f>SUM(Tabla33610673[Heat])</f>
        <v>0</v>
      </c>
      <c r="P13" s="43">
        <f>SUM(Tabla33610673[[ TR WIN]])</f>
        <v>546.86000000000013</v>
      </c>
      <c r="Q13" s="43">
        <f>SUM(Tabla33610673[[ TR LOSS]])</f>
        <v>-370.77000000000004</v>
      </c>
      <c r="R13" s="92"/>
      <c r="S13" s="93"/>
      <c r="T13" s="93"/>
      <c r="U13" s="99"/>
      <c r="V13" s="44">
        <f>SUM(Tabla33610673[Currency])</f>
        <v>61.06</v>
      </c>
      <c r="W13" s="44">
        <f>SUM(Tabla33610673[Heat3])</f>
        <v>0</v>
      </c>
      <c r="X13" s="44">
        <f>SUM(Tabla33610673[Commodities])</f>
        <v>10.119999999999996</v>
      </c>
      <c r="Y13" s="44">
        <f>SUM(Tabla33610673[Heat4])</f>
        <v>0</v>
      </c>
      <c r="Z13" s="44">
        <f>SUM(Tabla33610673[Index])</f>
        <v>104.91000000000004</v>
      </c>
      <c r="AA13" s="44">
        <f>SUM(Tabla33610673[Heat5])</f>
        <v>0</v>
      </c>
      <c r="AB13" s="44">
        <f>SUM(Tabla33610673[Cryptocurrency])</f>
        <v>0</v>
      </c>
      <c r="AC13" s="44">
        <f>SUM(Tabla33610673[Heat6])</f>
        <v>0</v>
      </c>
      <c r="AD13" s="75">
        <f>AVERAGEIF(Tabla33610673[Length of 
Trade],"&lt;&gt;0")</f>
        <v>0.67873720760247747</v>
      </c>
      <c r="AE13" s="75">
        <f>AVERAGEIF(Tabla33610673[Win],"&lt;&gt;0")</f>
        <v>1.1758323654666087</v>
      </c>
      <c r="AF13" s="75">
        <f>AVERAGEIF(Tabla33610673[Loss],"&lt;&gt;0")</f>
        <v>0.37691266478360391</v>
      </c>
      <c r="AG13" s="76">
        <f>AVERAGEIF(Tabla33610673[Breakeven],"&lt;&gt;0")</f>
        <v>0.47361111110512866</v>
      </c>
      <c r="AP13" s="89"/>
      <c r="AV13" s="88" t="s">
        <v>11</v>
      </c>
    </row>
    <row r="14" spans="1:48" ht="15" customHeight="1" thickBot="1" x14ac:dyDescent="0.2">
      <c r="B14" s="117"/>
      <c r="C14" s="118"/>
      <c r="D14" s="117"/>
      <c r="E14" s="127"/>
      <c r="F14" s="129"/>
      <c r="G14" s="157"/>
      <c r="H14" s="157"/>
      <c r="I14" s="157"/>
      <c r="J14" s="157"/>
      <c r="K14" s="158"/>
      <c r="L14" s="129"/>
      <c r="M14" s="129"/>
      <c r="N14" s="129"/>
      <c r="O14" s="129"/>
      <c r="P14" s="129"/>
      <c r="Q14" s="129"/>
      <c r="R14" s="129"/>
      <c r="S14" s="130"/>
      <c r="T14" s="130"/>
      <c r="U14" s="131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</row>
    <row r="15" spans="1:48" s="90" customFormat="1" ht="43" thickBot="1" x14ac:dyDescent="0.2">
      <c r="A15" s="118"/>
      <c r="B15" s="45" t="s">
        <v>29</v>
      </c>
      <c r="C15" s="46" t="s">
        <v>28</v>
      </c>
      <c r="D15" s="45" t="s">
        <v>35</v>
      </c>
      <c r="E15" s="113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05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97" t="s">
        <v>98</v>
      </c>
      <c r="S15" s="94" t="s">
        <v>93</v>
      </c>
      <c r="T15" s="104" t="s">
        <v>96</v>
      </c>
      <c r="U15" s="100" t="s">
        <v>94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75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18"/>
      <c r="AI15" s="87"/>
    </row>
    <row r="16" spans="1:48" s="90" customFormat="1" ht="42" hidden="1" x14ac:dyDescent="0.15">
      <c r="A16" s="118"/>
      <c r="B16" s="60" t="s">
        <v>29</v>
      </c>
      <c r="C16" s="61" t="s">
        <v>28</v>
      </c>
      <c r="D16" s="62" t="s">
        <v>35</v>
      </c>
      <c r="E16" s="114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06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98" t="s">
        <v>98</v>
      </c>
      <c r="S16" s="95" t="s">
        <v>93</v>
      </c>
      <c r="T16" s="95" t="s">
        <v>96</v>
      </c>
      <c r="U16" s="101" t="s">
        <v>94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75</v>
      </c>
      <c r="AC16" s="68" t="s">
        <v>92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54"/>
      <c r="AI16" s="87"/>
    </row>
    <row r="17" spans="1:35" s="90" customFormat="1" ht="14" x14ac:dyDescent="0.15">
      <c r="A17" s="118"/>
      <c r="B17" s="174" t="s">
        <v>19</v>
      </c>
      <c r="C17" s="175" t="s">
        <v>15</v>
      </c>
      <c r="D17" s="176" t="str">
        <f t="shared" ref="D17:D80" si="0">IF(E17&lt;&gt;"",IF(K17&lt;&gt;"","C","O"),"")</f>
        <v>C</v>
      </c>
      <c r="E17" s="177" t="d">
        <v>2021-12-30T16:44:59.99999979045242400</v>
      </c>
      <c r="F17" s="178" t="s">
        <v>77</v>
      </c>
      <c r="G17" s="179">
        <v>1807.65</v>
      </c>
      <c r="H17" s="179">
        <v>1804.15</v>
      </c>
      <c r="I17" s="180">
        <f t="shared" ref="I17:I80" si="1">ABS(G17-H17)</f>
        <v>3.5</v>
      </c>
      <c r="J17" s="179">
        <v>1824.47</v>
      </c>
      <c r="K17" s="177" t="d">
        <v>2021-12-30T23:58:59.99999980442225925</v>
      </c>
      <c r="L17" s="179">
        <v>1814.68</v>
      </c>
      <c r="M17" s="181">
        <f t="shared" ref="M17:M80" si="2">ROUND(IF(C17="L",(L17-G17),(G17-L17)),4)</f>
        <v>7.03</v>
      </c>
      <c r="N17" s="182">
        <f t="shared" ref="N17:N80" si="3">IFERROR(ROUND((M17/I17),2),"")</f>
        <v>2.0099999999999998</v>
      </c>
      <c r="O17" s="183">
        <f t="shared" ref="O17:O80" si="4">IF(D17="O",IF(N17&lt;0,N17,0),0)</f>
        <v>0</v>
      </c>
      <c r="P17" s="184">
        <f t="shared" ref="P17:P80" si="5">IF(N17&gt;= 0,N17,0)</f>
        <v>2.0099999999999998</v>
      </c>
      <c r="Q17" s="184">
        <f t="shared" ref="Q17:Q80" si="6">IF(N17&lt;0,N17,0)</f>
        <v>0</v>
      </c>
      <c r="R1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69022.5</v>
      </c>
      <c r="T1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69022.5</v>
      </c>
      <c r="U17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17" s="187">
        <f t="shared" ref="V17:V80" si="7">IF(B17="FX",N17,0)</f>
        <v>0</v>
      </c>
      <c r="W17" s="187">
        <f t="shared" ref="W17:W80" si="8">IF(D17="O",IF(V17&lt;0,V17,0),0)</f>
        <v>0</v>
      </c>
      <c r="X17" s="187">
        <f t="shared" ref="X17:X80" si="9">IF(B17="COM",N17,0)</f>
        <v>2.0099999999999998</v>
      </c>
      <c r="Y17" s="187">
        <f t="shared" ref="Y17:Y80" si="10">IF(D17="O",IF(X17&lt;0,X17,0),0)</f>
        <v>0</v>
      </c>
      <c r="Z17" s="187">
        <f t="shared" ref="Z17:Z80" si="11">IF(B17="IND",N17,0)</f>
        <v>0</v>
      </c>
      <c r="AA17" s="183">
        <f t="shared" ref="AA17:AA80" si="12">IF(D17="O",IF(Z17&lt;0,Z17,0),0)</f>
        <v>0</v>
      </c>
      <c r="AB17" s="187">
        <f t="shared" ref="AB17:AB80" si="13">IF(B17="CRYPTO",N17,0)</f>
        <v>0</v>
      </c>
      <c r="AC17" s="183">
        <f t="shared" ref="AC17:AC80" si="14">IF(D17="O",IF(AB17&lt;0,AB17,0),0)</f>
        <v>0</v>
      </c>
      <c r="AD17" s="188">
        <f t="shared" ref="AD17:AD80" si="15">IF(K17&lt;&gt;"",K17-E17,0)</f>
        <v>0.30138888888905058</v>
      </c>
      <c r="AE17" s="188">
        <f t="shared" ref="AE17:AE80" si="16">IF(N17&gt;0,AD17,0)</f>
        <v>0.30138888888905058</v>
      </c>
      <c r="AF17" s="188">
        <f t="shared" ref="AF17:AF80" si="17">IF(N17&lt;0,AD17,0)</f>
        <v>0</v>
      </c>
      <c r="AG17" s="188">
        <f t="shared" ref="AG17:AG80" si="18">IF(N17=0,AD17,0)</f>
        <v>0</v>
      </c>
      <c r="AH17" s="154"/>
      <c r="AI17" s="87"/>
    </row>
    <row r="18" spans="1:35" ht="15" customHeight="1" x14ac:dyDescent="0.15">
      <c r="B18" s="174" t="s">
        <v>7</v>
      </c>
      <c r="C18" s="175" t="s">
        <v>15</v>
      </c>
      <c r="D18" s="176" t="str">
        <f t="shared" si="0"/>
        <v>C</v>
      </c>
      <c r="E18" s="177" t="d">
        <v>2021-12-30T03:30:00.00000020954757600</v>
      </c>
      <c r="F18" s="178" t="s">
        <v>103</v>
      </c>
      <c r="G18" s="179">
        <v>115.04900000000001</v>
      </c>
      <c r="H18" s="179">
        <v>114.92100000000001</v>
      </c>
      <c r="I18" s="180">
        <f t="shared" si="1"/>
        <v>0.12800000000000011</v>
      </c>
      <c r="J18" s="179">
        <v>115.851</v>
      </c>
      <c r="K18" s="177" t="d">
        <v>2021-12-30T14:36:59.99999990221113300</v>
      </c>
      <c r="L18" s="179">
        <v>115.036</v>
      </c>
      <c r="M18" s="181">
        <f t="shared" si="2"/>
        <v>-1.2999999999999999E-2</v>
      </c>
      <c r="N18" s="182">
        <f t="shared" si="3"/>
        <v>-0.1</v>
      </c>
      <c r="O18" s="183">
        <f t="shared" si="4"/>
        <v>0</v>
      </c>
      <c r="P18" s="184">
        <f t="shared" si="5"/>
        <v>0</v>
      </c>
      <c r="Q18" s="184">
        <f t="shared" si="6"/>
        <v>-0.1</v>
      </c>
      <c r="R1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68520</v>
      </c>
      <c r="T1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68795</v>
      </c>
      <c r="U18" s="186">
        <f ca="1">IF(Tabla33610673[[#This Row],[Equity]]&lt;Tabla33610673[[#This Row],[Equity Peak]],(Tabla33610673[[#This Row],[Equity Peak]]-Tabla33610673[[#This Row],[Equity]])/Tabla33610673[[#This Row],[Equity Peak]],"")</f>
        <v>3.9973835307798534E-3</v>
      </c>
      <c r="V18" s="187">
        <f t="shared" si="7"/>
        <v>-0.1</v>
      </c>
      <c r="W18" s="187">
        <f t="shared" si="8"/>
        <v>0</v>
      </c>
      <c r="X18" s="187">
        <f t="shared" si="9"/>
        <v>0</v>
      </c>
      <c r="Y18" s="187">
        <f t="shared" si="10"/>
        <v>0</v>
      </c>
      <c r="Z18" s="187">
        <f t="shared" si="11"/>
        <v>0</v>
      </c>
      <c r="AA18" s="183">
        <f t="shared" si="12"/>
        <v>0</v>
      </c>
      <c r="AB18" s="187">
        <f t="shared" si="13"/>
        <v>0</v>
      </c>
      <c r="AC18" s="183">
        <f t="shared" si="14"/>
        <v>0</v>
      </c>
      <c r="AD18" s="188">
        <f t="shared" si="15"/>
        <v>0.46319444444088731</v>
      </c>
      <c r="AE18" s="188">
        <f t="shared" si="16"/>
        <v>0</v>
      </c>
      <c r="AF18" s="188">
        <f t="shared" si="17"/>
        <v>0.46319444444088731</v>
      </c>
      <c r="AG18" s="188">
        <f t="shared" si="18"/>
        <v>0</v>
      </c>
    </row>
    <row r="19" spans="1:35" ht="15" customHeight="1" x14ac:dyDescent="0.15">
      <c r="B19" s="174" t="s">
        <v>19</v>
      </c>
      <c r="C19" s="175" t="s">
        <v>13</v>
      </c>
      <c r="D19" s="176" t="str">
        <f t="shared" si="0"/>
        <v>C</v>
      </c>
      <c r="E19" s="177" t="d">
        <v>2021-12-30T07:44:59.99999979045242400</v>
      </c>
      <c r="F19" s="178" t="s">
        <v>77</v>
      </c>
      <c r="G19" s="179">
        <v>1798.7</v>
      </c>
      <c r="H19" s="179">
        <v>1802.09</v>
      </c>
      <c r="I19" s="180">
        <f t="shared" si="1"/>
        <v>3.3899999999998727</v>
      </c>
      <c r="J19" s="179">
        <v>1782.42</v>
      </c>
      <c r="K19" s="177" t="d">
        <v>2021-12-30T11:03:00.00000016763806350</v>
      </c>
      <c r="L19" s="179">
        <v>1802.09</v>
      </c>
      <c r="M19" s="181">
        <f t="shared" si="2"/>
        <v>-3.39</v>
      </c>
      <c r="N19" s="182">
        <f t="shared" si="3"/>
        <v>-1</v>
      </c>
      <c r="O19" s="183">
        <f t="shared" si="4"/>
        <v>0</v>
      </c>
      <c r="P19" s="184">
        <f t="shared" si="5"/>
        <v>0</v>
      </c>
      <c r="Q19" s="184">
        <f t="shared" si="6"/>
        <v>-1</v>
      </c>
      <c r="R1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68545</v>
      </c>
      <c r="T1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68795</v>
      </c>
      <c r="U19" s="186">
        <f ca="1">IF(Tabla33610673[[#This Row],[Equity]]&lt;Tabla33610673[[#This Row],[Equity Peak]],(Tabla33610673[[#This Row],[Equity Peak]]-Tabla33610673[[#This Row],[Equity]])/Tabla33610673[[#This Row],[Equity Peak]],"")</f>
        <v>3.6339850279816848E-3</v>
      </c>
      <c r="V19" s="187">
        <f t="shared" si="7"/>
        <v>0</v>
      </c>
      <c r="W19" s="187">
        <f t="shared" si="8"/>
        <v>0</v>
      </c>
      <c r="X19" s="187">
        <f t="shared" si="9"/>
        <v>-1</v>
      </c>
      <c r="Y19" s="187">
        <f t="shared" si="10"/>
        <v>0</v>
      </c>
      <c r="Z19" s="187">
        <f t="shared" si="11"/>
        <v>0</v>
      </c>
      <c r="AA19" s="183">
        <f t="shared" si="12"/>
        <v>0</v>
      </c>
      <c r="AB19" s="187">
        <f t="shared" si="13"/>
        <v>0</v>
      </c>
      <c r="AC19" s="183">
        <f t="shared" si="14"/>
        <v>0</v>
      </c>
      <c r="AD19" s="188">
        <f t="shared" si="15"/>
        <v>0.13750000000436557</v>
      </c>
      <c r="AE19" s="188">
        <f t="shared" si="16"/>
        <v>0</v>
      </c>
      <c r="AF19" s="188">
        <f t="shared" si="17"/>
        <v>0.13750000000436557</v>
      </c>
      <c r="AG19" s="188">
        <f t="shared" si="18"/>
        <v>0</v>
      </c>
    </row>
    <row r="20" spans="1:35" ht="15" customHeight="1" x14ac:dyDescent="0.15">
      <c r="B20" s="174" t="s">
        <v>7</v>
      </c>
      <c r="C20" s="175" t="s">
        <v>15</v>
      </c>
      <c r="D20" s="176" t="str">
        <f t="shared" si="0"/>
        <v>C</v>
      </c>
      <c r="E20" s="177" t="d">
        <v>2021-12-29T15:30:00.00000020954757600</v>
      </c>
      <c r="F20" s="178" t="s">
        <v>102</v>
      </c>
      <c r="G20" s="179">
        <v>154.63200000000001</v>
      </c>
      <c r="H20" s="179">
        <v>154.399</v>
      </c>
      <c r="I20" s="180">
        <f t="shared" si="1"/>
        <v>0.23300000000000409</v>
      </c>
      <c r="J20" s="179">
        <v>155.875</v>
      </c>
      <c r="K20" s="177" t="d">
        <v>2021-12-30T10:38:00.00000030733644975</v>
      </c>
      <c r="L20" s="179">
        <v>155.01400000000001</v>
      </c>
      <c r="M20" s="181">
        <f t="shared" si="2"/>
        <v>0.38200000000000001</v>
      </c>
      <c r="N20" s="182">
        <f t="shared" si="3"/>
        <v>1.64</v>
      </c>
      <c r="O20" s="183">
        <f t="shared" si="4"/>
        <v>0</v>
      </c>
      <c r="P20" s="184">
        <f t="shared" si="5"/>
        <v>1.64</v>
      </c>
      <c r="Q20" s="184">
        <f t="shared" si="6"/>
        <v>0</v>
      </c>
      <c r="R2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68795</v>
      </c>
      <c r="T2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68795</v>
      </c>
      <c r="U20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20" s="187">
        <f t="shared" si="7"/>
        <v>1.64</v>
      </c>
      <c r="W20" s="187">
        <f t="shared" si="8"/>
        <v>0</v>
      </c>
      <c r="X20" s="187">
        <f t="shared" si="9"/>
        <v>0</v>
      </c>
      <c r="Y20" s="187">
        <f t="shared" si="10"/>
        <v>0</v>
      </c>
      <c r="Z20" s="187">
        <f t="shared" si="11"/>
        <v>0</v>
      </c>
      <c r="AA20" s="183">
        <f t="shared" si="12"/>
        <v>0</v>
      </c>
      <c r="AB20" s="187">
        <f t="shared" si="13"/>
        <v>0</v>
      </c>
      <c r="AC20" s="183">
        <f t="shared" si="14"/>
        <v>0</v>
      </c>
      <c r="AD20" s="188">
        <f t="shared" si="15"/>
        <v>0.79722222222335404</v>
      </c>
      <c r="AE20" s="188">
        <f t="shared" si="16"/>
        <v>0.79722222222335404</v>
      </c>
      <c r="AF20" s="188">
        <f t="shared" si="17"/>
        <v>0</v>
      </c>
      <c r="AG20" s="188">
        <f t="shared" si="18"/>
        <v>0</v>
      </c>
    </row>
    <row r="21" spans="1:35" ht="15" customHeight="1" x14ac:dyDescent="0.15">
      <c r="B21" s="174" t="s">
        <v>19</v>
      </c>
      <c r="C21" s="175" t="s">
        <v>13</v>
      </c>
      <c r="D21" s="176" t="str">
        <f t="shared" si="0"/>
        <v>C</v>
      </c>
      <c r="E21" s="177" t="d">
        <v>2021-12-29T10:15:00.00000020954757600</v>
      </c>
      <c r="F21" s="178" t="s">
        <v>77</v>
      </c>
      <c r="G21" s="179">
        <v>1802.6</v>
      </c>
      <c r="H21" s="179">
        <v>1805.94</v>
      </c>
      <c r="I21" s="180">
        <f t="shared" si="1"/>
        <v>3.3400000000001455</v>
      </c>
      <c r="J21" s="179">
        <v>1786.56</v>
      </c>
      <c r="K21" s="177" t="d">
        <v>2021-12-29T15:36:59.99999969266355025</v>
      </c>
      <c r="L21" s="179">
        <v>1793.51</v>
      </c>
      <c r="M21" s="181">
        <f t="shared" si="2"/>
        <v>9.09</v>
      </c>
      <c r="N21" s="182">
        <f t="shared" si="3"/>
        <v>2.72</v>
      </c>
      <c r="O21" s="183">
        <f t="shared" si="4"/>
        <v>0</v>
      </c>
      <c r="P21" s="184">
        <f t="shared" si="5"/>
        <v>2.72</v>
      </c>
      <c r="Q21" s="184">
        <f t="shared" si="6"/>
        <v>0</v>
      </c>
      <c r="R2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68385</v>
      </c>
      <c r="T2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68385</v>
      </c>
      <c r="U21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21" s="187">
        <f t="shared" si="7"/>
        <v>0</v>
      </c>
      <c r="W21" s="187">
        <f t="shared" si="8"/>
        <v>0</v>
      </c>
      <c r="X21" s="187">
        <f t="shared" si="9"/>
        <v>2.72</v>
      </c>
      <c r="Y21" s="187">
        <f t="shared" si="10"/>
        <v>0</v>
      </c>
      <c r="Z21" s="187">
        <f t="shared" si="11"/>
        <v>0</v>
      </c>
      <c r="AA21" s="183">
        <f t="shared" si="12"/>
        <v>0</v>
      </c>
      <c r="AB21" s="187">
        <f t="shared" si="13"/>
        <v>0</v>
      </c>
      <c r="AC21" s="183">
        <f t="shared" si="14"/>
        <v>0</v>
      </c>
      <c r="AD21" s="188">
        <f t="shared" si="15"/>
        <v>0.22361111110512866</v>
      </c>
      <c r="AE21" s="188">
        <f t="shared" si="16"/>
        <v>0.22361111110512866</v>
      </c>
      <c r="AF21" s="188">
        <f t="shared" si="17"/>
        <v>0</v>
      </c>
      <c r="AG21" s="188">
        <f t="shared" si="18"/>
        <v>0</v>
      </c>
    </row>
    <row r="22" spans="1:35" ht="15" customHeight="1" x14ac:dyDescent="0.15">
      <c r="B22" s="174" t="s">
        <v>7</v>
      </c>
      <c r="C22" s="175" t="s">
        <v>15</v>
      </c>
      <c r="D22" s="176" t="str">
        <f t="shared" si="0"/>
        <v>C</v>
      </c>
      <c r="E22" s="177" t="d">
        <v>2021-12-29T10:30:00.000</v>
      </c>
      <c r="F22" s="178" t="s">
        <v>103</v>
      </c>
      <c r="G22" s="179">
        <v>114.971</v>
      </c>
      <c r="H22" s="179">
        <v>114.849</v>
      </c>
      <c r="I22" s="180">
        <f t="shared" si="1"/>
        <v>0.12199999999999989</v>
      </c>
      <c r="J22" s="179">
        <v>115.735</v>
      </c>
      <c r="K22" s="177" t="d">
        <v>2021-12-29T13:54:59.99999986030161375</v>
      </c>
      <c r="L22" s="179">
        <v>114.863</v>
      </c>
      <c r="M22" s="181">
        <f t="shared" si="2"/>
        <v>-0.108</v>
      </c>
      <c r="N22" s="182">
        <f t="shared" si="3"/>
        <v>-0.89</v>
      </c>
      <c r="O22" s="183">
        <f t="shared" si="4"/>
        <v>0</v>
      </c>
      <c r="P22" s="184">
        <f t="shared" si="5"/>
        <v>0</v>
      </c>
      <c r="Q22" s="184">
        <f t="shared" si="6"/>
        <v>-0.89</v>
      </c>
      <c r="R2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67705</v>
      </c>
      <c r="T2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67927.5</v>
      </c>
      <c r="U22" s="186">
        <f ca="1">IF(Tabla33610673[[#This Row],[Equity]]&lt;Tabla33610673[[#This Row],[Equity Peak]],(Tabla33610673[[#This Row],[Equity Peak]]-Tabla33610673[[#This Row],[Equity]])/Tabla33610673[[#This Row],[Equity Peak]],"")</f>
        <v>3.2755511390821098E-3</v>
      </c>
      <c r="V22" s="187">
        <f t="shared" si="7"/>
        <v>-0.89</v>
      </c>
      <c r="W22" s="187">
        <f t="shared" si="8"/>
        <v>0</v>
      </c>
      <c r="X22" s="187">
        <f t="shared" si="9"/>
        <v>0</v>
      </c>
      <c r="Y22" s="187">
        <f t="shared" si="10"/>
        <v>0</v>
      </c>
      <c r="Z22" s="187">
        <f t="shared" si="11"/>
        <v>0</v>
      </c>
      <c r="AA22" s="183">
        <f t="shared" si="12"/>
        <v>0</v>
      </c>
      <c r="AB22" s="187">
        <f t="shared" si="13"/>
        <v>0</v>
      </c>
      <c r="AC22" s="183">
        <f t="shared" si="14"/>
        <v>0</v>
      </c>
      <c r="AD22" s="188">
        <f t="shared" si="15"/>
        <v>0.14236111110949423</v>
      </c>
      <c r="AE22" s="188">
        <f t="shared" si="16"/>
        <v>0</v>
      </c>
      <c r="AF22" s="188">
        <f t="shared" si="17"/>
        <v>0.14236111110949423</v>
      </c>
      <c r="AG22" s="188">
        <f t="shared" si="18"/>
        <v>0</v>
      </c>
    </row>
    <row r="23" spans="1:35" ht="15" customHeight="1" x14ac:dyDescent="0.15">
      <c r="B23" s="174" t="s">
        <v>5</v>
      </c>
      <c r="C23" s="175" t="s">
        <v>15</v>
      </c>
      <c r="D23" s="176" t="str">
        <f t="shared" si="0"/>
        <v>C</v>
      </c>
      <c r="E23" s="177" t="d">
        <v>2021-12-27T11:00:00.00000020954757600</v>
      </c>
      <c r="F23" s="178" t="s">
        <v>80</v>
      </c>
      <c r="G23" s="179">
        <v>15787.85</v>
      </c>
      <c r="H23" s="179">
        <v>15745.18</v>
      </c>
      <c r="I23" s="180">
        <f t="shared" si="1"/>
        <v>42.670000000000073</v>
      </c>
      <c r="J23" s="179">
        <v>16100.73</v>
      </c>
      <c r="K23" s="177" t="d">
        <v>2021-12-29T13:06:59.99999990221113300</v>
      </c>
      <c r="L23" s="179">
        <v>15904.85</v>
      </c>
      <c r="M23" s="181">
        <f t="shared" si="2"/>
        <v>117</v>
      </c>
      <c r="N23" s="182">
        <f t="shared" si="3"/>
        <v>2.74</v>
      </c>
      <c r="O23" s="183">
        <f t="shared" si="4"/>
        <v>0</v>
      </c>
      <c r="P23" s="184">
        <f t="shared" si="5"/>
        <v>2.74</v>
      </c>
      <c r="Q23" s="184">
        <f t="shared" si="6"/>
        <v>0</v>
      </c>
      <c r="R2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67927.5</v>
      </c>
      <c r="T2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67927.5</v>
      </c>
      <c r="U23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23" s="187">
        <f t="shared" si="7"/>
        <v>0</v>
      </c>
      <c r="W23" s="187">
        <f t="shared" si="8"/>
        <v>0</v>
      </c>
      <c r="X23" s="187">
        <f t="shared" si="9"/>
        <v>0</v>
      </c>
      <c r="Y23" s="187">
        <f t="shared" si="10"/>
        <v>0</v>
      </c>
      <c r="Z23" s="187">
        <f t="shared" si="11"/>
        <v>2.74</v>
      </c>
      <c r="AA23" s="183">
        <f t="shared" si="12"/>
        <v>0</v>
      </c>
      <c r="AB23" s="187">
        <f t="shared" si="13"/>
        <v>0</v>
      </c>
      <c r="AC23" s="183">
        <f t="shared" si="14"/>
        <v>0</v>
      </c>
      <c r="AD23" s="188">
        <f t="shared" si="15"/>
        <v>2.0881944444408873</v>
      </c>
      <c r="AE23" s="188">
        <f t="shared" si="16"/>
        <v>2.0881944444408873</v>
      </c>
      <c r="AF23" s="188">
        <f t="shared" si="17"/>
        <v>0</v>
      </c>
      <c r="AG23" s="188">
        <f t="shared" si="18"/>
        <v>0</v>
      </c>
    </row>
    <row r="24" spans="1:35" ht="15" customHeight="1" x14ac:dyDescent="0.15">
      <c r="B24" s="174" t="s">
        <v>5</v>
      </c>
      <c r="C24" s="175" t="s">
        <v>15</v>
      </c>
      <c r="D24" s="176" t="str">
        <f t="shared" si="0"/>
        <v>C</v>
      </c>
      <c r="E24" s="177" t="d">
        <v>2021-12-21T20:00:00.00000020954757600</v>
      </c>
      <c r="F24" s="178" t="s">
        <v>82</v>
      </c>
      <c r="G24" s="179">
        <v>4638.22</v>
      </c>
      <c r="H24" s="179">
        <v>4607.3100000000004</v>
      </c>
      <c r="I24" s="180">
        <f t="shared" si="1"/>
        <v>30.909999999999854</v>
      </c>
      <c r="J24" s="179">
        <v>4839.17</v>
      </c>
      <c r="K24" s="177" t="d">
        <v>2021-12-28T19:28:00.00000023748725325</v>
      </c>
      <c r="L24" s="179">
        <v>4789.04</v>
      </c>
      <c r="M24" s="181">
        <f t="shared" si="2"/>
        <v>150.82</v>
      </c>
      <c r="N24" s="182">
        <f t="shared" si="3"/>
        <v>4.88</v>
      </c>
      <c r="O24" s="183">
        <f t="shared" si="4"/>
        <v>0</v>
      </c>
      <c r="P24" s="184">
        <f t="shared" si="5"/>
        <v>4.88</v>
      </c>
      <c r="Q24" s="184">
        <f t="shared" si="6"/>
        <v>0</v>
      </c>
      <c r="R2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67242.5</v>
      </c>
      <c r="T2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67242.5</v>
      </c>
      <c r="U24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24" s="187">
        <f t="shared" si="7"/>
        <v>0</v>
      </c>
      <c r="W24" s="187">
        <f t="shared" si="8"/>
        <v>0</v>
      </c>
      <c r="X24" s="187">
        <f t="shared" si="9"/>
        <v>0</v>
      </c>
      <c r="Y24" s="187">
        <f t="shared" si="10"/>
        <v>0</v>
      </c>
      <c r="Z24" s="187">
        <f t="shared" si="11"/>
        <v>4.88</v>
      </c>
      <c r="AA24" s="183">
        <f t="shared" si="12"/>
        <v>0</v>
      </c>
      <c r="AB24" s="187">
        <f t="shared" si="13"/>
        <v>0</v>
      </c>
      <c r="AC24" s="183">
        <f t="shared" si="14"/>
        <v>0</v>
      </c>
      <c r="AD24" s="188">
        <f t="shared" si="15"/>
        <v>6.9777777777781012</v>
      </c>
      <c r="AE24" s="188">
        <f t="shared" si="16"/>
        <v>6.9777777777781012</v>
      </c>
      <c r="AF24" s="188">
        <f t="shared" si="17"/>
        <v>0</v>
      </c>
      <c r="AG24" s="188">
        <f t="shared" si="18"/>
        <v>0</v>
      </c>
    </row>
    <row r="25" spans="1:35" ht="15" customHeight="1" x14ac:dyDescent="0.15">
      <c r="B25" s="174" t="s">
        <v>7</v>
      </c>
      <c r="C25" s="175" t="s">
        <v>15</v>
      </c>
      <c r="D25" s="176" t="str">
        <f t="shared" si="0"/>
        <v>C</v>
      </c>
      <c r="E25" s="177" t="d">
        <v>2021-12-27T14:29:59.99999979045242400</v>
      </c>
      <c r="F25" s="178" t="s">
        <v>102</v>
      </c>
      <c r="G25" s="179">
        <v>153.80000000000001</v>
      </c>
      <c r="H25" s="179">
        <v>153.53200000000001</v>
      </c>
      <c r="I25" s="180">
        <f t="shared" si="1"/>
        <v>0.26800000000000068</v>
      </c>
      <c r="J25" s="179">
        <v>155.22999999999999</v>
      </c>
      <c r="K25" s="177" t="d">
        <v>2021-12-28T17:29:00.00000022351741800</v>
      </c>
      <c r="L25" s="179">
        <v>154.25399999999999</v>
      </c>
      <c r="M25" s="181">
        <f t="shared" si="2"/>
        <v>0.45400000000000001</v>
      </c>
      <c r="N25" s="182">
        <f t="shared" si="3"/>
        <v>1.69</v>
      </c>
      <c r="O25" s="183">
        <f t="shared" si="4"/>
        <v>0</v>
      </c>
      <c r="P25" s="184">
        <f t="shared" si="5"/>
        <v>1.69</v>
      </c>
      <c r="Q25" s="184">
        <f t="shared" si="6"/>
        <v>0</v>
      </c>
      <c r="R2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66022.5</v>
      </c>
      <c r="T2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66022.5</v>
      </c>
      <c r="U25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25" s="187">
        <f t="shared" si="7"/>
        <v>1.69</v>
      </c>
      <c r="W25" s="187">
        <f t="shared" si="8"/>
        <v>0</v>
      </c>
      <c r="X25" s="187">
        <f t="shared" si="9"/>
        <v>0</v>
      </c>
      <c r="Y25" s="187">
        <f t="shared" si="10"/>
        <v>0</v>
      </c>
      <c r="Z25" s="187">
        <f t="shared" si="11"/>
        <v>0</v>
      </c>
      <c r="AA25" s="183">
        <f t="shared" si="12"/>
        <v>0</v>
      </c>
      <c r="AB25" s="187">
        <f t="shared" si="13"/>
        <v>0</v>
      </c>
      <c r="AC25" s="183">
        <f t="shared" si="14"/>
        <v>0</v>
      </c>
      <c r="AD25" s="188">
        <f t="shared" si="15"/>
        <v>1.1243055555605679</v>
      </c>
      <c r="AE25" s="188">
        <f t="shared" si="16"/>
        <v>1.1243055555605679</v>
      </c>
      <c r="AF25" s="188">
        <f t="shared" si="17"/>
        <v>0</v>
      </c>
      <c r="AG25" s="188">
        <f t="shared" si="18"/>
        <v>0</v>
      </c>
    </row>
    <row r="26" spans="1:35" ht="15" customHeight="1" x14ac:dyDescent="0.15">
      <c r="B26" s="174" t="s">
        <v>19</v>
      </c>
      <c r="C26" s="175" t="s">
        <v>15</v>
      </c>
      <c r="D26" s="176" t="str">
        <f t="shared" si="0"/>
        <v>C</v>
      </c>
      <c r="E26" s="177" t="d">
        <v>2021-12-28T08:45:00.00000020954757600</v>
      </c>
      <c r="F26" s="178" t="s">
        <v>77</v>
      </c>
      <c r="G26" s="179">
        <v>1815.26</v>
      </c>
      <c r="H26" s="179">
        <v>1811.82</v>
      </c>
      <c r="I26" s="180">
        <f t="shared" si="1"/>
        <v>3.4400000000000546</v>
      </c>
      <c r="J26" s="179">
        <v>1831.76</v>
      </c>
      <c r="K26" s="177" t="d">
        <v>2021-12-28T16:06:59.99999990221113300</v>
      </c>
      <c r="L26" s="179">
        <v>1812.29</v>
      </c>
      <c r="M26" s="181">
        <f t="shared" si="2"/>
        <v>-2.97</v>
      </c>
      <c r="N26" s="182">
        <f t="shared" si="3"/>
        <v>-0.86</v>
      </c>
      <c r="O26" s="183">
        <f t="shared" si="4"/>
        <v>0</v>
      </c>
      <c r="P26" s="184">
        <f t="shared" si="5"/>
        <v>0</v>
      </c>
      <c r="Q26" s="184">
        <f t="shared" si="6"/>
        <v>-0.86</v>
      </c>
      <c r="R2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65600</v>
      </c>
      <c r="T2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65815</v>
      </c>
      <c r="U26" s="186">
        <f ca="1">IF(Tabla33610673[[#This Row],[Equity]]&lt;Tabla33610673[[#This Row],[Equity Peak]],(Tabla33610673[[#This Row],[Equity Peak]]-Tabla33610673[[#This Row],[Equity]])/Tabla33610673[[#This Row],[Equity Peak]],"")</f>
        <v>3.2667325077869788E-3</v>
      </c>
      <c r="V26" s="187">
        <f t="shared" si="7"/>
        <v>0</v>
      </c>
      <c r="W26" s="187">
        <f t="shared" si="8"/>
        <v>0</v>
      </c>
      <c r="X26" s="187">
        <f t="shared" si="9"/>
        <v>-0.86</v>
      </c>
      <c r="Y26" s="187">
        <f t="shared" si="10"/>
        <v>0</v>
      </c>
      <c r="Z26" s="187">
        <f t="shared" si="11"/>
        <v>0</v>
      </c>
      <c r="AA26" s="183">
        <f t="shared" si="12"/>
        <v>0</v>
      </c>
      <c r="AB26" s="187">
        <f t="shared" si="13"/>
        <v>0</v>
      </c>
      <c r="AC26" s="183">
        <f t="shared" si="14"/>
        <v>0</v>
      </c>
      <c r="AD26" s="188">
        <f t="shared" si="15"/>
        <v>0.30694444444088731</v>
      </c>
      <c r="AE26" s="188">
        <f t="shared" si="16"/>
        <v>0</v>
      </c>
      <c r="AF26" s="188">
        <f t="shared" si="17"/>
        <v>0.30694444444088731</v>
      </c>
      <c r="AG26" s="188">
        <f t="shared" si="18"/>
        <v>0</v>
      </c>
    </row>
    <row r="27" spans="1:35" ht="15" customHeight="1" x14ac:dyDescent="0.15">
      <c r="B27" s="174" t="s">
        <v>7</v>
      </c>
      <c r="C27" s="175" t="s">
        <v>15</v>
      </c>
      <c r="D27" s="176" t="str">
        <f t="shared" si="0"/>
        <v>C</v>
      </c>
      <c r="E27" s="177" t="d">
        <v>2021-12-27T10:15:00.00000020954757600</v>
      </c>
      <c r="F27" s="178" t="s">
        <v>103</v>
      </c>
      <c r="G27" s="179">
        <v>114.54</v>
      </c>
      <c r="H27" s="179">
        <v>114.407</v>
      </c>
      <c r="I27" s="180">
        <f t="shared" si="1"/>
        <v>0.13300000000000978</v>
      </c>
      <c r="J27" s="179">
        <v>115.376</v>
      </c>
      <c r="K27" s="177" t="d">
        <v>2021-12-28T11:17:59.9999999580904875</v>
      </c>
      <c r="L27" s="179">
        <v>114.759</v>
      </c>
      <c r="M27" s="181">
        <f t="shared" si="2"/>
        <v>0.219</v>
      </c>
      <c r="N27" s="182">
        <f t="shared" si="3"/>
        <v>1.65</v>
      </c>
      <c r="O27" s="183">
        <f t="shared" si="4"/>
        <v>0</v>
      </c>
      <c r="P27" s="184">
        <f t="shared" si="5"/>
        <v>1.65</v>
      </c>
      <c r="Q27" s="184">
        <f t="shared" si="6"/>
        <v>0</v>
      </c>
      <c r="R2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65815</v>
      </c>
      <c r="T2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65815</v>
      </c>
      <c r="U27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27" s="187">
        <f t="shared" si="7"/>
        <v>1.65</v>
      </c>
      <c r="W27" s="187">
        <f t="shared" si="8"/>
        <v>0</v>
      </c>
      <c r="X27" s="187">
        <f t="shared" si="9"/>
        <v>0</v>
      </c>
      <c r="Y27" s="187">
        <f t="shared" si="10"/>
        <v>0</v>
      </c>
      <c r="Z27" s="187">
        <f t="shared" si="11"/>
        <v>0</v>
      </c>
      <c r="AA27" s="183">
        <f t="shared" si="12"/>
        <v>0</v>
      </c>
      <c r="AB27" s="187">
        <f t="shared" si="13"/>
        <v>0</v>
      </c>
      <c r="AC27" s="183">
        <f t="shared" si="14"/>
        <v>0</v>
      </c>
      <c r="AD27" s="188">
        <f t="shared" si="15"/>
        <v>1.0437499999970896</v>
      </c>
      <c r="AE27" s="188">
        <f t="shared" si="16"/>
        <v>1.0437499999970896</v>
      </c>
      <c r="AF27" s="188">
        <f t="shared" si="17"/>
        <v>0</v>
      </c>
      <c r="AG27" s="188">
        <f t="shared" si="18"/>
        <v>0</v>
      </c>
    </row>
    <row r="28" spans="1:35" ht="15" customHeight="1" x14ac:dyDescent="0.15">
      <c r="B28" s="174" t="s">
        <v>5</v>
      </c>
      <c r="C28" s="175" t="s">
        <v>15</v>
      </c>
      <c r="D28" s="176" t="str">
        <f t="shared" si="0"/>
        <v>C</v>
      </c>
      <c r="E28" s="177" t="d">
        <v>2021-12-22T17:45:00.00000020954757600</v>
      </c>
      <c r="F28" s="178" t="s">
        <v>81</v>
      </c>
      <c r="G28" s="179">
        <v>16058.04</v>
      </c>
      <c r="H28" s="179">
        <v>15973.21</v>
      </c>
      <c r="I28" s="180">
        <f t="shared" si="1"/>
        <v>84.830000000001746</v>
      </c>
      <c r="J28" s="179">
        <v>16567</v>
      </c>
      <c r="K28" s="177" t="d">
        <v>2021-12-27T23:01:59.99999997206032275</v>
      </c>
      <c r="L28" s="179">
        <v>16567</v>
      </c>
      <c r="M28" s="181">
        <f t="shared" si="2"/>
        <v>508.96</v>
      </c>
      <c r="N28" s="182">
        <f t="shared" si="3"/>
        <v>6</v>
      </c>
      <c r="O28" s="183">
        <f t="shared" si="4"/>
        <v>0</v>
      </c>
      <c r="P28" s="184">
        <f t="shared" si="5"/>
        <v>6</v>
      </c>
      <c r="Q28" s="184">
        <f t="shared" si="6"/>
        <v>0</v>
      </c>
      <c r="R2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65402.5</v>
      </c>
      <c r="T2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65402.5</v>
      </c>
      <c r="U28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28" s="187">
        <f t="shared" si="7"/>
        <v>0</v>
      </c>
      <c r="W28" s="187">
        <f t="shared" si="8"/>
        <v>0</v>
      </c>
      <c r="X28" s="187">
        <f t="shared" si="9"/>
        <v>0</v>
      </c>
      <c r="Y28" s="187">
        <f t="shared" si="10"/>
        <v>0</v>
      </c>
      <c r="Z28" s="187">
        <f t="shared" si="11"/>
        <v>6</v>
      </c>
      <c r="AA28" s="183">
        <f t="shared" si="12"/>
        <v>0</v>
      </c>
      <c r="AB28" s="187">
        <f t="shared" si="13"/>
        <v>0</v>
      </c>
      <c r="AC28" s="183">
        <f t="shared" si="14"/>
        <v>0</v>
      </c>
      <c r="AD28" s="188">
        <f t="shared" si="15"/>
        <v>5.2201388888861402</v>
      </c>
      <c r="AE28" s="188">
        <f t="shared" si="16"/>
        <v>5.2201388888861402</v>
      </c>
      <c r="AF28" s="188">
        <f t="shared" si="17"/>
        <v>0</v>
      </c>
      <c r="AG28" s="188">
        <f t="shared" si="18"/>
        <v>0</v>
      </c>
    </row>
    <row r="29" spans="1:35" ht="15" customHeight="1" x14ac:dyDescent="0.15">
      <c r="B29" s="174" t="s">
        <v>19</v>
      </c>
      <c r="C29" s="175" t="s">
        <v>15</v>
      </c>
      <c r="D29" s="176" t="str">
        <f t="shared" si="0"/>
        <v>C</v>
      </c>
      <c r="E29" s="177" t="d">
        <v>2021-12-27T17:15:00.000</v>
      </c>
      <c r="F29" s="178" t="s">
        <v>77</v>
      </c>
      <c r="G29" s="179">
        <v>1811.44</v>
      </c>
      <c r="H29" s="179">
        <v>1807.72</v>
      </c>
      <c r="I29" s="180">
        <f t="shared" si="1"/>
        <v>3.7200000000000273</v>
      </c>
      <c r="J29" s="179">
        <v>1829.29</v>
      </c>
      <c r="K29" s="177" t="d">
        <v>2021-12-27T19:54:59.99999986030161375</v>
      </c>
      <c r="L29" s="179">
        <v>1807.72</v>
      </c>
      <c r="M29" s="181">
        <f t="shared" si="2"/>
        <v>-3.72</v>
      </c>
      <c r="N29" s="182">
        <f t="shared" si="3"/>
        <v>-1</v>
      </c>
      <c r="O29" s="183">
        <f t="shared" si="4"/>
        <v>0</v>
      </c>
      <c r="P29" s="184">
        <f t="shared" si="5"/>
        <v>0</v>
      </c>
      <c r="Q29" s="184">
        <f t="shared" si="6"/>
        <v>-1</v>
      </c>
      <c r="R2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63902.5</v>
      </c>
      <c r="T2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64302.5</v>
      </c>
      <c r="U29" s="186">
        <f ca="1">IF(Tabla33610673[[#This Row],[Equity]]&lt;Tabla33610673[[#This Row],[Equity Peak]],(Tabla33610673[[#This Row],[Equity Peak]]-Tabla33610673[[#This Row],[Equity]])/Tabla33610673[[#This Row],[Equity Peak]],"")</f>
        <v>6.2205979549784223E-3</v>
      </c>
      <c r="V29" s="187">
        <f t="shared" si="7"/>
        <v>0</v>
      </c>
      <c r="W29" s="187">
        <f t="shared" si="8"/>
        <v>0</v>
      </c>
      <c r="X29" s="187">
        <f t="shared" si="9"/>
        <v>-1</v>
      </c>
      <c r="Y29" s="187">
        <f t="shared" si="10"/>
        <v>0</v>
      </c>
      <c r="Z29" s="187">
        <f t="shared" si="11"/>
        <v>0</v>
      </c>
      <c r="AA29" s="183">
        <f t="shared" si="12"/>
        <v>0</v>
      </c>
      <c r="AB29" s="187">
        <f t="shared" si="13"/>
        <v>0</v>
      </c>
      <c r="AC29" s="183">
        <f t="shared" si="14"/>
        <v>0</v>
      </c>
      <c r="AD29" s="188">
        <f t="shared" si="15"/>
        <v>0.11111111110949423</v>
      </c>
      <c r="AE29" s="188">
        <f t="shared" si="16"/>
        <v>0</v>
      </c>
      <c r="AF29" s="188">
        <f t="shared" si="17"/>
        <v>0.11111111110949423</v>
      </c>
      <c r="AG29" s="188">
        <f t="shared" si="18"/>
        <v>0</v>
      </c>
    </row>
    <row r="30" spans="1:35" ht="15" customHeight="1" x14ac:dyDescent="0.15">
      <c r="B30" s="174" t="s">
        <v>5</v>
      </c>
      <c r="C30" s="175" t="s">
        <v>15</v>
      </c>
      <c r="D30" s="176" t="str">
        <f t="shared" si="0"/>
        <v>C</v>
      </c>
      <c r="E30" s="177" t="d">
        <v>2021-12-23T13:30:00.000</v>
      </c>
      <c r="F30" s="178" t="s">
        <v>80</v>
      </c>
      <c r="G30" s="179">
        <v>15688.31</v>
      </c>
      <c r="H30" s="179">
        <v>15640.46</v>
      </c>
      <c r="I30" s="180">
        <f t="shared" si="1"/>
        <v>47.850000000000364</v>
      </c>
      <c r="J30" s="179">
        <v>16039.23</v>
      </c>
      <c r="K30" s="177" t="d">
        <v>2021-12-27T09:33:00.00000016763806350</v>
      </c>
      <c r="L30" s="179">
        <v>15687.67</v>
      </c>
      <c r="M30" s="181">
        <f t="shared" si="2"/>
        <v>-0.64</v>
      </c>
      <c r="N30" s="182">
        <f t="shared" si="3"/>
        <v>-0.01</v>
      </c>
      <c r="O30" s="183">
        <f t="shared" si="4"/>
        <v>0</v>
      </c>
      <c r="P30" s="184">
        <f t="shared" si="5"/>
        <v>0</v>
      </c>
      <c r="Q30" s="184">
        <f t="shared" si="6"/>
        <v>-0.01</v>
      </c>
      <c r="R3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64152.5</v>
      </c>
      <c r="T3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64302.5</v>
      </c>
      <c r="U30" s="186">
        <f ca="1">IF(Tabla33610673[[#This Row],[Equity]]&lt;Tabla33610673[[#This Row],[Equity Peak]],(Tabla33610673[[#This Row],[Equity Peak]]-Tabla33610673[[#This Row],[Equity]])/Tabla33610673[[#This Row],[Equity Peak]],"")</f>
        <v>2.3327242331169082E-3</v>
      </c>
      <c r="V30" s="187">
        <f t="shared" si="7"/>
        <v>0</v>
      </c>
      <c r="W30" s="187">
        <f t="shared" si="8"/>
        <v>0</v>
      </c>
      <c r="X30" s="187">
        <f t="shared" si="9"/>
        <v>0</v>
      </c>
      <c r="Y30" s="187">
        <f t="shared" si="10"/>
        <v>0</v>
      </c>
      <c r="Z30" s="187">
        <f t="shared" si="11"/>
        <v>-0.01</v>
      </c>
      <c r="AA30" s="183">
        <f t="shared" si="12"/>
        <v>0</v>
      </c>
      <c r="AB30" s="187">
        <f t="shared" si="13"/>
        <v>0</v>
      </c>
      <c r="AC30" s="183">
        <f t="shared" si="14"/>
        <v>0</v>
      </c>
      <c r="AD30" s="188">
        <f t="shared" si="15"/>
        <v>3.8354166666686069</v>
      </c>
      <c r="AE30" s="188">
        <f t="shared" si="16"/>
        <v>0</v>
      </c>
      <c r="AF30" s="188">
        <f t="shared" si="17"/>
        <v>3.8354166666686069</v>
      </c>
      <c r="AG30" s="188">
        <f t="shared" si="18"/>
        <v>0</v>
      </c>
    </row>
    <row r="31" spans="1:35" ht="15" customHeight="1" x14ac:dyDescent="0.15">
      <c r="B31" s="174" t="s">
        <v>7</v>
      </c>
      <c r="C31" s="175" t="s">
        <v>15</v>
      </c>
      <c r="D31" s="176" t="str">
        <f t="shared" si="0"/>
        <v>C</v>
      </c>
      <c r="E31" s="177" t="d">
        <v>2021-12-23T14:29:59.99999979045242400</v>
      </c>
      <c r="F31" s="178" t="s">
        <v>103</v>
      </c>
      <c r="G31" s="179">
        <v>114.381</v>
      </c>
      <c r="H31" s="179">
        <v>114.203</v>
      </c>
      <c r="I31" s="180">
        <f t="shared" si="1"/>
        <v>0.17799999999999727</v>
      </c>
      <c r="J31" s="179">
        <v>115.497</v>
      </c>
      <c r="K31" s="177" t="d">
        <v>2021-12-24T23:45:00.00000020954757600</v>
      </c>
      <c r="L31" s="179">
        <v>114.276</v>
      </c>
      <c r="M31" s="181">
        <f t="shared" si="2"/>
        <v>-0.105</v>
      </c>
      <c r="N31" s="182">
        <f t="shared" si="3"/>
        <v>-0.59</v>
      </c>
      <c r="O31" s="183">
        <f t="shared" si="4"/>
        <v>0</v>
      </c>
      <c r="P31" s="184">
        <f t="shared" si="5"/>
        <v>0</v>
      </c>
      <c r="Q31" s="184">
        <f t="shared" si="6"/>
        <v>-0.59</v>
      </c>
      <c r="R3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64155</v>
      </c>
      <c r="T3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64302.5</v>
      </c>
      <c r="U31" s="186">
        <f ca="1">IF(Tabla33610673[[#This Row],[Equity]]&lt;Tabla33610673[[#This Row],[Equity Peak]],(Tabla33610673[[#This Row],[Equity Peak]]-Tabla33610673[[#This Row],[Equity]])/Tabla33610673[[#This Row],[Equity Peak]],"")</f>
        <v>2.2938454958982934E-3</v>
      </c>
      <c r="V31" s="187">
        <f t="shared" si="7"/>
        <v>-0.59</v>
      </c>
      <c r="W31" s="187">
        <f t="shared" si="8"/>
        <v>0</v>
      </c>
      <c r="X31" s="187">
        <f t="shared" si="9"/>
        <v>0</v>
      </c>
      <c r="Y31" s="187">
        <f t="shared" si="10"/>
        <v>0</v>
      </c>
      <c r="Z31" s="187">
        <f t="shared" si="11"/>
        <v>0</v>
      </c>
      <c r="AA31" s="183">
        <f t="shared" si="12"/>
        <v>0</v>
      </c>
      <c r="AB31" s="187">
        <f t="shared" si="13"/>
        <v>0</v>
      </c>
      <c r="AC31" s="183">
        <f t="shared" si="14"/>
        <v>0</v>
      </c>
      <c r="AD31" s="188">
        <f t="shared" si="15"/>
        <v>1.3854166666715173</v>
      </c>
      <c r="AE31" s="188">
        <f t="shared" si="16"/>
        <v>0</v>
      </c>
      <c r="AF31" s="188">
        <f t="shared" si="17"/>
        <v>1.3854166666715173</v>
      </c>
      <c r="AG31" s="188">
        <f t="shared" si="18"/>
        <v>0</v>
      </c>
    </row>
    <row r="32" spans="1:35" ht="15" customHeight="1" x14ac:dyDescent="0.15">
      <c r="B32" s="174" t="s">
        <v>19</v>
      </c>
      <c r="C32" s="175" t="s">
        <v>15</v>
      </c>
      <c r="D32" s="176" t="str">
        <f t="shared" si="0"/>
        <v>C</v>
      </c>
      <c r="E32" s="177" t="d">
        <v>2021-12-22T12:45:00.000</v>
      </c>
      <c r="F32" s="178" t="s">
        <v>77</v>
      </c>
      <c r="G32" s="179">
        <v>1791.53</v>
      </c>
      <c r="H32" s="179">
        <v>1787.28</v>
      </c>
      <c r="I32" s="180">
        <f t="shared" si="1"/>
        <v>4.25</v>
      </c>
      <c r="J32" s="179">
        <v>1811.93</v>
      </c>
      <c r="K32" s="177" t="d">
        <v>2021-12-23T14:17:59.9999999580904875</v>
      </c>
      <c r="L32" s="179">
        <v>1803.72</v>
      </c>
      <c r="M32" s="181">
        <f t="shared" si="2"/>
        <v>12.19</v>
      </c>
      <c r="N32" s="182">
        <f t="shared" si="3"/>
        <v>2.87</v>
      </c>
      <c r="O32" s="183">
        <f t="shared" si="4"/>
        <v>0</v>
      </c>
      <c r="P32" s="184">
        <f t="shared" si="5"/>
        <v>2.87</v>
      </c>
      <c r="Q32" s="184">
        <f t="shared" si="6"/>
        <v>0</v>
      </c>
      <c r="R3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64302.5</v>
      </c>
      <c r="T3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64302.5</v>
      </c>
      <c r="U32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32" s="187">
        <f t="shared" si="7"/>
        <v>0</v>
      </c>
      <c r="W32" s="187">
        <f t="shared" si="8"/>
        <v>0</v>
      </c>
      <c r="X32" s="187">
        <f t="shared" si="9"/>
        <v>2.87</v>
      </c>
      <c r="Y32" s="187">
        <f t="shared" si="10"/>
        <v>0</v>
      </c>
      <c r="Z32" s="187">
        <f t="shared" si="11"/>
        <v>0</v>
      </c>
      <c r="AA32" s="183">
        <f t="shared" si="12"/>
        <v>0</v>
      </c>
      <c r="AB32" s="187">
        <f t="shared" si="13"/>
        <v>0</v>
      </c>
      <c r="AC32" s="183">
        <f t="shared" si="14"/>
        <v>0</v>
      </c>
      <c r="AD32" s="188">
        <f t="shared" si="15"/>
        <v>1.0645833333328483</v>
      </c>
      <c r="AE32" s="188">
        <f t="shared" si="16"/>
        <v>1.0645833333328483</v>
      </c>
      <c r="AF32" s="188">
        <f t="shared" si="17"/>
        <v>0</v>
      </c>
      <c r="AG32" s="188">
        <f t="shared" si="18"/>
        <v>0</v>
      </c>
    </row>
    <row r="33" spans="2:33" ht="15" customHeight="1" x14ac:dyDescent="0.15">
      <c r="B33" s="174" t="s">
        <v>7</v>
      </c>
      <c r="C33" s="175" t="s">
        <v>15</v>
      </c>
      <c r="D33" s="176" t="str">
        <f t="shared" si="0"/>
        <v>C</v>
      </c>
      <c r="E33" s="177" t="d">
        <v>2021-12-22T09:59:59.99999979045242400</v>
      </c>
      <c r="F33" s="178" t="s">
        <v>102</v>
      </c>
      <c r="G33" s="179">
        <v>151.53299999999999</v>
      </c>
      <c r="H33" s="179">
        <v>151.26400000000001</v>
      </c>
      <c r="I33" s="180">
        <f t="shared" si="1"/>
        <v>0.26899999999997704</v>
      </c>
      <c r="J33" s="179">
        <v>152.96700000000001</v>
      </c>
      <c r="K33" s="177" t="d">
        <v>2021-12-23T10:25:59.99999984633177850</v>
      </c>
      <c r="L33" s="179">
        <v>152.96700000000001</v>
      </c>
      <c r="M33" s="181">
        <f t="shared" si="2"/>
        <v>1.4339999999999999</v>
      </c>
      <c r="N33" s="182">
        <f t="shared" si="3"/>
        <v>5.33</v>
      </c>
      <c r="O33" s="183">
        <f t="shared" si="4"/>
        <v>0</v>
      </c>
      <c r="P33" s="184">
        <f t="shared" si="5"/>
        <v>5.33</v>
      </c>
      <c r="Q33" s="184">
        <f t="shared" si="6"/>
        <v>0</v>
      </c>
      <c r="R3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63585</v>
      </c>
      <c r="T3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63585</v>
      </c>
      <c r="U33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33" s="187">
        <f t="shared" si="7"/>
        <v>5.33</v>
      </c>
      <c r="W33" s="187">
        <f t="shared" si="8"/>
        <v>0</v>
      </c>
      <c r="X33" s="187">
        <f t="shared" si="9"/>
        <v>0</v>
      </c>
      <c r="Y33" s="187">
        <f t="shared" si="10"/>
        <v>0</v>
      </c>
      <c r="Z33" s="187">
        <f t="shared" si="11"/>
        <v>0</v>
      </c>
      <c r="AA33" s="183">
        <f t="shared" si="12"/>
        <v>0</v>
      </c>
      <c r="AB33" s="187">
        <f t="shared" si="13"/>
        <v>0</v>
      </c>
      <c r="AC33" s="183">
        <f t="shared" si="14"/>
        <v>0</v>
      </c>
      <c r="AD33" s="188">
        <f t="shared" si="15"/>
        <v>1.0180555555562023</v>
      </c>
      <c r="AE33" s="188">
        <f t="shared" si="16"/>
        <v>1.0180555555562023</v>
      </c>
      <c r="AF33" s="188">
        <f t="shared" si="17"/>
        <v>0</v>
      </c>
      <c r="AG33" s="188">
        <f t="shared" si="18"/>
        <v>0</v>
      </c>
    </row>
    <row r="34" spans="2:33" ht="15" customHeight="1" x14ac:dyDescent="0.15">
      <c r="B34" s="174" t="s">
        <v>7</v>
      </c>
      <c r="C34" s="175" t="s">
        <v>15</v>
      </c>
      <c r="D34" s="176" t="str">
        <f t="shared" si="0"/>
        <v>C</v>
      </c>
      <c r="E34" s="177" t="d">
        <v>2021-12-22T10:30:00.000</v>
      </c>
      <c r="F34" s="178" t="s">
        <v>103</v>
      </c>
      <c r="G34" s="179">
        <v>114.30500000000001</v>
      </c>
      <c r="H34" s="179">
        <v>114.105</v>
      </c>
      <c r="I34" s="180">
        <f t="shared" si="1"/>
        <v>0.20000000000000284</v>
      </c>
      <c r="J34" s="179">
        <v>115.562</v>
      </c>
      <c r="K34" s="177" t="d">
        <v>2021-12-22T22:47:59.99999974854290475</v>
      </c>
      <c r="L34" s="179">
        <v>114.105</v>
      </c>
      <c r="M34" s="181">
        <f t="shared" si="2"/>
        <v>-0.2</v>
      </c>
      <c r="N34" s="182">
        <f t="shared" si="3"/>
        <v>-1</v>
      </c>
      <c r="O34" s="183">
        <f t="shared" si="4"/>
        <v>0</v>
      </c>
      <c r="P34" s="184">
        <f t="shared" si="5"/>
        <v>0</v>
      </c>
      <c r="Q34" s="184">
        <f t="shared" si="6"/>
        <v>-1</v>
      </c>
      <c r="R3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62252.5</v>
      </c>
      <c r="T3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63397.5</v>
      </c>
      <c r="U34" s="186">
        <f ca="1">IF(Tabla33610673[[#This Row],[Equity]]&lt;Tabla33610673[[#This Row],[Equity Peak]],(Tabla33610673[[#This Row],[Equity Peak]]-Tabla33610673[[#This Row],[Equity]])/Tabla33610673[[#This Row],[Equity Peak]],"")</f>
        <v>1.8060649079222366E-2</v>
      </c>
      <c r="V34" s="187">
        <f t="shared" si="7"/>
        <v>-1</v>
      </c>
      <c r="W34" s="187">
        <f t="shared" si="8"/>
        <v>0</v>
      </c>
      <c r="X34" s="187">
        <f t="shared" si="9"/>
        <v>0</v>
      </c>
      <c r="Y34" s="187">
        <f t="shared" si="10"/>
        <v>0</v>
      </c>
      <c r="Z34" s="187">
        <f t="shared" si="11"/>
        <v>0</v>
      </c>
      <c r="AA34" s="183">
        <f t="shared" si="12"/>
        <v>0</v>
      </c>
      <c r="AB34" s="187">
        <f t="shared" si="13"/>
        <v>0</v>
      </c>
      <c r="AC34" s="183">
        <f t="shared" si="14"/>
        <v>0</v>
      </c>
      <c r="AD34" s="188">
        <f t="shared" si="15"/>
        <v>0.51249999999708962</v>
      </c>
      <c r="AE34" s="188">
        <f t="shared" si="16"/>
        <v>0</v>
      </c>
      <c r="AF34" s="188">
        <f t="shared" si="17"/>
        <v>0.51249999999708962</v>
      </c>
      <c r="AG34" s="188">
        <f t="shared" si="18"/>
        <v>0</v>
      </c>
    </row>
    <row r="35" spans="2:33" ht="15" customHeight="1" x14ac:dyDescent="0.15">
      <c r="B35" s="174" t="s">
        <v>19</v>
      </c>
      <c r="C35" s="175" t="s">
        <v>13</v>
      </c>
      <c r="D35" s="176" t="str">
        <f t="shared" si="0"/>
        <v>C</v>
      </c>
      <c r="E35" s="177" t="d">
        <v>2021-12-21T17:45:00.00000020954757600</v>
      </c>
      <c r="F35" s="178" t="s">
        <v>77</v>
      </c>
      <c r="G35" s="179">
        <v>1786.37</v>
      </c>
      <c r="H35" s="179">
        <v>1790.82</v>
      </c>
      <c r="I35" s="180">
        <f t="shared" si="1"/>
        <v>4.4500000000000455</v>
      </c>
      <c r="J35" s="179">
        <v>1765.01</v>
      </c>
      <c r="K35" s="177" t="d">
        <v>2021-12-22T02:00:00.00000020954757600</v>
      </c>
      <c r="L35" s="179">
        <v>1790.82</v>
      </c>
      <c r="M35" s="181">
        <f t="shared" si="2"/>
        <v>-4.45</v>
      </c>
      <c r="N35" s="182">
        <f t="shared" si="3"/>
        <v>-1</v>
      </c>
      <c r="O35" s="183">
        <f t="shared" si="4"/>
        <v>0</v>
      </c>
      <c r="P35" s="184">
        <f t="shared" si="5"/>
        <v>0</v>
      </c>
      <c r="Q35" s="184">
        <f t="shared" si="6"/>
        <v>-1</v>
      </c>
      <c r="R3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62502.5</v>
      </c>
      <c r="T3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63397.5</v>
      </c>
      <c r="U35" s="186">
        <f ca="1">IF(Tabla33610673[[#This Row],[Equity]]&lt;Tabla33610673[[#This Row],[Equity Peak]],(Tabla33610673[[#This Row],[Equity Peak]]-Tabla33610673[[#This Row],[Equity]])/Tabla33610673[[#This Row],[Equity Peak]],"")</f>
        <v>1.4117275917820103E-2</v>
      </c>
      <c r="V35" s="187">
        <f t="shared" si="7"/>
        <v>0</v>
      </c>
      <c r="W35" s="187">
        <f t="shared" si="8"/>
        <v>0</v>
      </c>
      <c r="X35" s="187">
        <f t="shared" si="9"/>
        <v>-1</v>
      </c>
      <c r="Y35" s="187">
        <f t="shared" si="10"/>
        <v>0</v>
      </c>
      <c r="Z35" s="187">
        <f t="shared" si="11"/>
        <v>0</v>
      </c>
      <c r="AA35" s="183">
        <f t="shared" si="12"/>
        <v>0</v>
      </c>
      <c r="AB35" s="187">
        <f t="shared" si="13"/>
        <v>0</v>
      </c>
      <c r="AC35" s="183">
        <f t="shared" si="14"/>
        <v>0</v>
      </c>
      <c r="AD35" s="188">
        <f t="shared" si="15"/>
        <v>0.34375</v>
      </c>
      <c r="AE35" s="188">
        <f t="shared" si="16"/>
        <v>0</v>
      </c>
      <c r="AF35" s="188">
        <f t="shared" si="17"/>
        <v>0.34375</v>
      </c>
      <c r="AG35" s="188">
        <f t="shared" si="18"/>
        <v>0</v>
      </c>
    </row>
    <row r="36" spans="2:33" ht="15" customHeight="1" x14ac:dyDescent="0.15">
      <c r="B36" s="174" t="s">
        <v>19</v>
      </c>
      <c r="C36" s="175" t="s">
        <v>15</v>
      </c>
      <c r="D36" s="176" t="str">
        <f t="shared" si="0"/>
        <v>C</v>
      </c>
      <c r="E36" s="177" t="d">
        <v>2021-12-21T10:15:00.00000020954757600</v>
      </c>
      <c r="F36" s="178" t="s">
        <v>77</v>
      </c>
      <c r="G36" s="179">
        <v>1795.27</v>
      </c>
      <c r="H36" s="179">
        <v>1790.94</v>
      </c>
      <c r="I36" s="180">
        <f t="shared" si="1"/>
        <v>4.3299999999999272</v>
      </c>
      <c r="J36" s="179">
        <v>1816.05</v>
      </c>
      <c r="K36" s="177" t="d">
        <v>2021-12-21T17:06:59.99999969266355025</v>
      </c>
      <c r="L36" s="179">
        <v>1790.94</v>
      </c>
      <c r="M36" s="181">
        <f t="shared" si="2"/>
        <v>-4.33</v>
      </c>
      <c r="N36" s="182">
        <f t="shared" si="3"/>
        <v>-1</v>
      </c>
      <c r="O36" s="183">
        <f t="shared" si="4"/>
        <v>0</v>
      </c>
      <c r="P36" s="184">
        <f t="shared" si="5"/>
        <v>0</v>
      </c>
      <c r="Q36" s="184">
        <f t="shared" si="6"/>
        <v>-1</v>
      </c>
      <c r="R3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62752.5</v>
      </c>
      <c r="T3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63397.5</v>
      </c>
      <c r="U36" s="186">
        <f ca="1">IF(Tabla33610673[[#This Row],[Equity]]&lt;Tabla33610673[[#This Row],[Equity Peak]],(Tabla33610673[[#This Row],[Equity Peak]]-Tabla33610673[[#This Row],[Equity]])/Tabla33610673[[#This Row],[Equity Peak]],"")</f>
        <v>1.017390275641784E-2</v>
      </c>
      <c r="V36" s="187">
        <f t="shared" si="7"/>
        <v>0</v>
      </c>
      <c r="W36" s="187">
        <f t="shared" si="8"/>
        <v>0</v>
      </c>
      <c r="X36" s="187">
        <f t="shared" si="9"/>
        <v>-1</v>
      </c>
      <c r="Y36" s="187">
        <f t="shared" si="10"/>
        <v>0</v>
      </c>
      <c r="Z36" s="187">
        <f t="shared" si="11"/>
        <v>0</v>
      </c>
      <c r="AA36" s="183">
        <f t="shared" si="12"/>
        <v>0</v>
      </c>
      <c r="AB36" s="187">
        <f t="shared" si="13"/>
        <v>0</v>
      </c>
      <c r="AC36" s="183">
        <f t="shared" si="14"/>
        <v>0</v>
      </c>
      <c r="AD36" s="188">
        <f t="shared" si="15"/>
        <v>0.28611111110512866</v>
      </c>
      <c r="AE36" s="188">
        <f t="shared" si="16"/>
        <v>0</v>
      </c>
      <c r="AF36" s="188">
        <f t="shared" si="17"/>
        <v>0.28611111110512866</v>
      </c>
      <c r="AG36" s="188">
        <f t="shared" si="18"/>
        <v>0</v>
      </c>
    </row>
    <row r="37" spans="2:33" ht="15" customHeight="1" x14ac:dyDescent="0.15">
      <c r="B37" s="174" t="s">
        <v>19</v>
      </c>
      <c r="C37" s="175" t="s">
        <v>13</v>
      </c>
      <c r="D37" s="176" t="str">
        <f t="shared" si="0"/>
        <v>C</v>
      </c>
      <c r="E37" s="177" t="d">
        <v>2021-12-20T23:00:00.00000020954757600</v>
      </c>
      <c r="F37" s="178" t="s">
        <v>77</v>
      </c>
      <c r="G37" s="179">
        <v>1788.46</v>
      </c>
      <c r="H37" s="179">
        <v>1792.8</v>
      </c>
      <c r="I37" s="180">
        <f t="shared" si="1"/>
        <v>4.3399999999999181</v>
      </c>
      <c r="J37" s="179">
        <v>1767.61</v>
      </c>
      <c r="K37" s="177" t="d">
        <v>2021-12-21T05:45:59.99999977648258200</v>
      </c>
      <c r="L37" s="179">
        <v>1792.8</v>
      </c>
      <c r="M37" s="181">
        <f t="shared" si="2"/>
        <v>-4.34</v>
      </c>
      <c r="N37" s="182">
        <f t="shared" si="3"/>
        <v>-1</v>
      </c>
      <c r="O37" s="183">
        <f t="shared" si="4"/>
        <v>0</v>
      </c>
      <c r="P37" s="184">
        <f t="shared" si="5"/>
        <v>0</v>
      </c>
      <c r="Q37" s="184">
        <f t="shared" si="6"/>
        <v>-1</v>
      </c>
      <c r="R3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63002.5</v>
      </c>
      <c r="T3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63397.5</v>
      </c>
      <c r="U37" s="186">
        <f ca="1">IF(Tabla33610673[[#This Row],[Equity]]&lt;Tabla33610673[[#This Row],[Equity Peak]],(Tabla33610673[[#This Row],[Equity Peak]]-Tabla33610673[[#This Row],[Equity]])/Tabla33610673[[#This Row],[Equity Peak]],"")</f>
        <v>6.2305295950155761E-3</v>
      </c>
      <c r="V37" s="187">
        <f t="shared" si="7"/>
        <v>0</v>
      </c>
      <c r="W37" s="187">
        <f t="shared" si="8"/>
        <v>0</v>
      </c>
      <c r="X37" s="187">
        <f t="shared" si="9"/>
        <v>-1</v>
      </c>
      <c r="Y37" s="187">
        <f t="shared" si="10"/>
        <v>0</v>
      </c>
      <c r="Z37" s="187">
        <f t="shared" si="11"/>
        <v>0</v>
      </c>
      <c r="AA37" s="183">
        <f t="shared" si="12"/>
        <v>0</v>
      </c>
      <c r="AB37" s="187">
        <f t="shared" si="13"/>
        <v>0</v>
      </c>
      <c r="AC37" s="183">
        <f t="shared" si="14"/>
        <v>0</v>
      </c>
      <c r="AD37" s="188">
        <f t="shared" si="15"/>
        <v>0.28194444443943212</v>
      </c>
      <c r="AE37" s="188">
        <f t="shared" si="16"/>
        <v>0</v>
      </c>
      <c r="AF37" s="188">
        <f t="shared" si="17"/>
        <v>0.28194444443943212</v>
      </c>
      <c r="AG37" s="188">
        <f t="shared" si="18"/>
        <v>0</v>
      </c>
    </row>
    <row r="38" spans="2:33" ht="15" customHeight="1" x14ac:dyDescent="0.15">
      <c r="B38" s="174" t="s">
        <v>5</v>
      </c>
      <c r="C38" s="175" t="s">
        <v>13</v>
      </c>
      <c r="D38" s="176" t="str">
        <f t="shared" si="0"/>
        <v>C</v>
      </c>
      <c r="E38" s="177" t="d">
        <v>2021-12-20T04:15:00.00000020954757600</v>
      </c>
      <c r="F38" s="178" t="s">
        <v>81</v>
      </c>
      <c r="G38" s="179">
        <v>15632.61</v>
      </c>
      <c r="H38" s="179">
        <v>15751.55</v>
      </c>
      <c r="I38" s="180">
        <f t="shared" si="1"/>
        <v>118.93999999999869</v>
      </c>
      <c r="J38" s="179">
        <v>14918.99</v>
      </c>
      <c r="K38" s="177" t="d">
        <v>2021-12-21T01:22:59.99999988824129100</v>
      </c>
      <c r="L38" s="179">
        <v>15701.49</v>
      </c>
      <c r="M38" s="181">
        <f t="shared" si="2"/>
        <v>-68.88</v>
      </c>
      <c r="N38" s="182">
        <f t="shared" si="3"/>
        <v>-0.57999999999999996</v>
      </c>
      <c r="O38" s="183">
        <f t="shared" si="4"/>
        <v>0</v>
      </c>
      <c r="P38" s="184">
        <f t="shared" si="5"/>
        <v>0</v>
      </c>
      <c r="Q38" s="184">
        <f t="shared" si="6"/>
        <v>-0.57999999999999996</v>
      </c>
      <c r="R3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63252.5</v>
      </c>
      <c r="T3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63397.5</v>
      </c>
      <c r="U38" s="186">
        <f ca="1">IF(Tabla33610673[[#This Row],[Equity]]&lt;Tabla33610673[[#This Row],[Equity Peak]],(Tabla33610673[[#This Row],[Equity Peak]]-Tabla33610673[[#This Row],[Equity]])/Tabla33610673[[#This Row],[Equity Peak]],"")</f>
        <v>2.2871564336133126E-3</v>
      </c>
      <c r="V38" s="187">
        <f t="shared" si="7"/>
        <v>0</v>
      </c>
      <c r="W38" s="187">
        <f t="shared" si="8"/>
        <v>0</v>
      </c>
      <c r="X38" s="187">
        <f t="shared" si="9"/>
        <v>0</v>
      </c>
      <c r="Y38" s="187">
        <f t="shared" si="10"/>
        <v>0</v>
      </c>
      <c r="Z38" s="187">
        <f t="shared" si="11"/>
        <v>-0.57999999999999996</v>
      </c>
      <c r="AA38" s="183">
        <f t="shared" si="12"/>
        <v>0</v>
      </c>
      <c r="AB38" s="187">
        <f t="shared" si="13"/>
        <v>0</v>
      </c>
      <c r="AC38" s="183">
        <f t="shared" si="14"/>
        <v>0</v>
      </c>
      <c r="AD38" s="188">
        <f t="shared" si="15"/>
        <v>0.88055555555183673</v>
      </c>
      <c r="AE38" s="188">
        <f t="shared" si="16"/>
        <v>0</v>
      </c>
      <c r="AF38" s="188">
        <f t="shared" si="17"/>
        <v>0.88055555555183673</v>
      </c>
      <c r="AG38" s="188">
        <f t="shared" si="18"/>
        <v>0</v>
      </c>
    </row>
    <row r="39" spans="2:33" ht="15" customHeight="1" x14ac:dyDescent="0.15">
      <c r="B39" s="174" t="s">
        <v>7</v>
      </c>
      <c r="C39" s="175" t="s">
        <v>13</v>
      </c>
      <c r="D39" s="176" t="str">
        <f t="shared" si="0"/>
        <v>C</v>
      </c>
      <c r="E39" s="177" t="d">
        <v>2021-12-20T02:00:00.00000020954757600</v>
      </c>
      <c r="F39" s="178" t="s">
        <v>102</v>
      </c>
      <c r="G39" s="179">
        <v>150.166</v>
      </c>
      <c r="H39" s="179">
        <v>150.51900000000001</v>
      </c>
      <c r="I39" s="180">
        <f t="shared" si="1"/>
        <v>0.35300000000000864</v>
      </c>
      <c r="J39" s="179">
        <v>148.285</v>
      </c>
      <c r="K39" s="177" t="d">
        <v>2021-12-20T13:54:59.99999986030161375</v>
      </c>
      <c r="L39" s="179">
        <v>150.04599999999999</v>
      </c>
      <c r="M39" s="181">
        <f t="shared" si="2"/>
        <v>0.12</v>
      </c>
      <c r="N39" s="182">
        <f t="shared" si="3"/>
        <v>0.34</v>
      </c>
      <c r="O39" s="183">
        <f t="shared" si="4"/>
        <v>0</v>
      </c>
      <c r="P39" s="184">
        <f t="shared" si="5"/>
        <v>0.34</v>
      </c>
      <c r="Q39" s="184">
        <f t="shared" si="6"/>
        <v>0</v>
      </c>
      <c r="R3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63397.5</v>
      </c>
      <c r="T3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63397.5</v>
      </c>
      <c r="U39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39" s="187">
        <f t="shared" si="7"/>
        <v>0.34</v>
      </c>
      <c r="W39" s="187">
        <f t="shared" si="8"/>
        <v>0</v>
      </c>
      <c r="X39" s="187">
        <f t="shared" si="9"/>
        <v>0</v>
      </c>
      <c r="Y39" s="187">
        <f t="shared" si="10"/>
        <v>0</v>
      </c>
      <c r="Z39" s="187">
        <f t="shared" si="11"/>
        <v>0</v>
      </c>
      <c r="AA39" s="183">
        <f t="shared" si="12"/>
        <v>0</v>
      </c>
      <c r="AB39" s="187">
        <f t="shared" si="13"/>
        <v>0</v>
      </c>
      <c r="AC39" s="183">
        <f t="shared" si="14"/>
        <v>0</v>
      </c>
      <c r="AD39" s="188">
        <f t="shared" si="15"/>
        <v>0.49652777777373558</v>
      </c>
      <c r="AE39" s="188">
        <f t="shared" si="16"/>
        <v>0.49652777777373558</v>
      </c>
      <c r="AF39" s="188">
        <f t="shared" si="17"/>
        <v>0</v>
      </c>
      <c r="AG39" s="188">
        <f t="shared" si="18"/>
        <v>0</v>
      </c>
    </row>
    <row r="40" spans="2:33" ht="15" customHeight="1" x14ac:dyDescent="0.15">
      <c r="B40" s="174" t="s">
        <v>5</v>
      </c>
      <c r="C40" s="175" t="s">
        <v>13</v>
      </c>
      <c r="D40" s="176" t="str">
        <f t="shared" si="0"/>
        <v>C</v>
      </c>
      <c r="E40" s="177" t="d">
        <v>2021-12-20T02:29:59.99999979045242400</v>
      </c>
      <c r="F40" s="178" t="s">
        <v>80</v>
      </c>
      <c r="G40" s="179">
        <v>15372.81</v>
      </c>
      <c r="H40" s="179">
        <v>15450.69</v>
      </c>
      <c r="I40" s="180">
        <f t="shared" si="1"/>
        <v>77.880000000001019</v>
      </c>
      <c r="J40" s="179">
        <v>14801.69</v>
      </c>
      <c r="K40" s="177" t="d">
        <v>2021-12-20T12:23:00.000000097788870375</v>
      </c>
      <c r="L40" s="179">
        <v>15226.27</v>
      </c>
      <c r="M40" s="181">
        <f t="shared" si="2"/>
        <v>146.54</v>
      </c>
      <c r="N40" s="182">
        <f t="shared" si="3"/>
        <v>1.88</v>
      </c>
      <c r="O40" s="183">
        <f t="shared" si="4"/>
        <v>0</v>
      </c>
      <c r="P40" s="184">
        <f t="shared" si="5"/>
        <v>1.88</v>
      </c>
      <c r="Q40" s="184">
        <f t="shared" si="6"/>
        <v>0</v>
      </c>
      <c r="R4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63312.5</v>
      </c>
      <c r="T4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63312.5</v>
      </c>
      <c r="U40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0" s="187">
        <f t="shared" si="7"/>
        <v>0</v>
      </c>
      <c r="W40" s="187">
        <f t="shared" si="8"/>
        <v>0</v>
      </c>
      <c r="X40" s="187">
        <f t="shared" si="9"/>
        <v>0</v>
      </c>
      <c r="Y40" s="187">
        <f t="shared" si="10"/>
        <v>0</v>
      </c>
      <c r="Z40" s="187">
        <f t="shared" si="11"/>
        <v>1.88</v>
      </c>
      <c r="AA40" s="183">
        <f t="shared" si="12"/>
        <v>0</v>
      </c>
      <c r="AB40" s="187">
        <f t="shared" si="13"/>
        <v>0</v>
      </c>
      <c r="AC40" s="183">
        <f t="shared" si="14"/>
        <v>0</v>
      </c>
      <c r="AD40" s="188">
        <f t="shared" si="15"/>
        <v>0.41180555555911269</v>
      </c>
      <c r="AE40" s="188">
        <f t="shared" si="16"/>
        <v>0.41180555555911269</v>
      </c>
      <c r="AF40" s="188">
        <f t="shared" si="17"/>
        <v>0</v>
      </c>
      <c r="AG40" s="188">
        <f t="shared" si="18"/>
        <v>0</v>
      </c>
    </row>
    <row r="41" spans="2:33" ht="15" customHeight="1" x14ac:dyDescent="0.15">
      <c r="B41" s="174" t="s">
        <v>5</v>
      </c>
      <c r="C41" s="175" t="s">
        <v>13</v>
      </c>
      <c r="D41" s="176" t="str">
        <f t="shared" si="0"/>
        <v>C</v>
      </c>
      <c r="E41" s="177" t="d">
        <v>2021-12-17T11:15:00.000</v>
      </c>
      <c r="F41" s="178" t="s">
        <v>82</v>
      </c>
      <c r="G41" s="179">
        <v>4646.92</v>
      </c>
      <c r="H41" s="179">
        <v>4670.3900000000003</v>
      </c>
      <c r="I41" s="180">
        <f t="shared" si="1"/>
        <v>23.470000000000255</v>
      </c>
      <c r="J41" s="179">
        <v>4494.34</v>
      </c>
      <c r="K41" s="177" t="d">
        <v>2021-12-17T17:35:00.00000013969838625</v>
      </c>
      <c r="L41" s="179">
        <v>4628.99</v>
      </c>
      <c r="M41" s="181">
        <f t="shared" si="2"/>
        <v>17.93</v>
      </c>
      <c r="N41" s="182">
        <f t="shared" si="3"/>
        <v>0.76</v>
      </c>
      <c r="O41" s="183">
        <f t="shared" si="4"/>
        <v>0</v>
      </c>
      <c r="P41" s="184">
        <f t="shared" si="5"/>
        <v>0.76</v>
      </c>
      <c r="Q41" s="184">
        <f t="shared" si="6"/>
        <v>0</v>
      </c>
      <c r="R4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62842.5</v>
      </c>
      <c r="T4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62902.5</v>
      </c>
      <c r="U41" s="186">
        <f ca="1">IF(Tabla33610673[[#This Row],[Equity]]&lt;Tabla33610673[[#This Row],[Equity Peak]],(Tabla33610673[[#This Row],[Equity Peak]]-Tabla33610673[[#This Row],[Equity]])/Tabla33610673[[#This Row],[Equity Peak]],"")</f>
        <v>9.5385715989030641E-4</v>
      </c>
      <c r="V41" s="187">
        <f t="shared" si="7"/>
        <v>0</v>
      </c>
      <c r="W41" s="187">
        <f t="shared" si="8"/>
        <v>0</v>
      </c>
      <c r="X41" s="187">
        <f t="shared" si="9"/>
        <v>0</v>
      </c>
      <c r="Y41" s="187">
        <f t="shared" si="10"/>
        <v>0</v>
      </c>
      <c r="Z41" s="187">
        <f t="shared" si="11"/>
        <v>0.76</v>
      </c>
      <c r="AA41" s="183">
        <f t="shared" si="12"/>
        <v>0</v>
      </c>
      <c r="AB41" s="187">
        <f t="shared" si="13"/>
        <v>0</v>
      </c>
      <c r="AC41" s="183">
        <f t="shared" si="14"/>
        <v>0</v>
      </c>
      <c r="AD41" s="188">
        <f t="shared" si="15"/>
        <v>0.26388888889050577</v>
      </c>
      <c r="AE41" s="188">
        <f t="shared" si="16"/>
        <v>0.26388888889050577</v>
      </c>
      <c r="AF41" s="188">
        <f t="shared" si="17"/>
        <v>0</v>
      </c>
      <c r="AG41" s="188">
        <f t="shared" si="18"/>
        <v>0</v>
      </c>
    </row>
    <row r="42" spans="2:33" ht="15" customHeight="1" x14ac:dyDescent="0.15">
      <c r="B42" s="174" t="s">
        <v>5</v>
      </c>
      <c r="C42" s="175" t="s">
        <v>13</v>
      </c>
      <c r="D42" s="176" t="str">
        <f t="shared" si="0"/>
        <v>C</v>
      </c>
      <c r="E42" s="177" t="d">
        <v>2021-12-17T11:15:00.000</v>
      </c>
      <c r="F42" s="178" t="s">
        <v>81</v>
      </c>
      <c r="G42" s="179">
        <v>15708.75</v>
      </c>
      <c r="H42" s="179">
        <v>15813.48</v>
      </c>
      <c r="I42" s="180">
        <f t="shared" si="1"/>
        <v>104.72999999999956</v>
      </c>
      <c r="J42" s="179">
        <v>15080.35</v>
      </c>
      <c r="K42" s="177" t="d">
        <v>2021-12-17T16:50:00.00000013969838625</v>
      </c>
      <c r="L42" s="179">
        <v>15813.48</v>
      </c>
      <c r="M42" s="181">
        <f t="shared" si="2"/>
        <v>-104.73</v>
      </c>
      <c r="N42" s="182">
        <f t="shared" si="3"/>
        <v>-1</v>
      </c>
      <c r="O42" s="183">
        <f t="shared" si="4"/>
        <v>0</v>
      </c>
      <c r="P42" s="184">
        <f t="shared" si="5"/>
        <v>0</v>
      </c>
      <c r="Q42" s="184">
        <f t="shared" si="6"/>
        <v>-1</v>
      </c>
      <c r="R4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62652.5</v>
      </c>
      <c r="T4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62902.5</v>
      </c>
      <c r="U42" s="186">
        <f ca="1">IF(Tabla33610673[[#This Row],[Equity]]&lt;Tabla33610673[[#This Row],[Equity Peak]],(Tabla33610673[[#This Row],[Equity Peak]]-Tabla33610673[[#This Row],[Equity]])/Tabla33610673[[#This Row],[Equity Peak]],"")</f>
        <v>3.9744048328762766E-3</v>
      </c>
      <c r="V42" s="187">
        <f t="shared" si="7"/>
        <v>0</v>
      </c>
      <c r="W42" s="187">
        <f t="shared" si="8"/>
        <v>0</v>
      </c>
      <c r="X42" s="187">
        <f t="shared" si="9"/>
        <v>0</v>
      </c>
      <c r="Y42" s="187">
        <f t="shared" si="10"/>
        <v>0</v>
      </c>
      <c r="Z42" s="187">
        <f t="shared" si="11"/>
        <v>-1</v>
      </c>
      <c r="AA42" s="183">
        <f t="shared" si="12"/>
        <v>0</v>
      </c>
      <c r="AB42" s="187">
        <f t="shared" si="13"/>
        <v>0</v>
      </c>
      <c r="AC42" s="183">
        <f t="shared" si="14"/>
        <v>0</v>
      </c>
      <c r="AD42" s="188">
        <f t="shared" si="15"/>
        <v>0.23263888889050577</v>
      </c>
      <c r="AE42" s="188">
        <f t="shared" si="16"/>
        <v>0</v>
      </c>
      <c r="AF42" s="188">
        <f t="shared" si="17"/>
        <v>0.23263888889050577</v>
      </c>
      <c r="AG42" s="188">
        <f t="shared" si="18"/>
        <v>0</v>
      </c>
    </row>
    <row r="43" spans="2:33" ht="15" customHeight="1" x14ac:dyDescent="0.15">
      <c r="B43" s="174" t="s">
        <v>19</v>
      </c>
      <c r="C43" s="175" t="s">
        <v>15</v>
      </c>
      <c r="D43" s="176" t="str">
        <f t="shared" si="0"/>
        <v>C</v>
      </c>
      <c r="E43" s="177" t="d">
        <v>2021-12-16T03:59:59.99999979045242400</v>
      </c>
      <c r="F43" s="178" t="s">
        <v>77</v>
      </c>
      <c r="G43" s="179">
        <v>1782.83</v>
      </c>
      <c r="H43" s="179">
        <v>1778.69</v>
      </c>
      <c r="I43" s="180">
        <f t="shared" si="1"/>
        <v>4.1399999999998727</v>
      </c>
      <c r="J43" s="179">
        <v>1802.72</v>
      </c>
      <c r="K43" s="177" t="d">
        <v>2021-12-17T03:53:00.00000030733644975</v>
      </c>
      <c r="L43" s="179">
        <v>1802.72</v>
      </c>
      <c r="M43" s="181">
        <f t="shared" si="2"/>
        <v>19.89</v>
      </c>
      <c r="N43" s="182">
        <f t="shared" si="3"/>
        <v>4.8</v>
      </c>
      <c r="O43" s="183">
        <f t="shared" si="4"/>
        <v>0</v>
      </c>
      <c r="P43" s="184">
        <f t="shared" si="5"/>
        <v>4.8</v>
      </c>
      <c r="Q43" s="184">
        <f t="shared" si="6"/>
        <v>0</v>
      </c>
      <c r="R4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62902.5</v>
      </c>
      <c r="T4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62902.5</v>
      </c>
      <c r="U43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3" s="187">
        <f t="shared" si="7"/>
        <v>0</v>
      </c>
      <c r="W43" s="187">
        <f t="shared" si="8"/>
        <v>0</v>
      </c>
      <c r="X43" s="187">
        <f t="shared" si="9"/>
        <v>4.8</v>
      </c>
      <c r="Y43" s="187">
        <f t="shared" si="10"/>
        <v>0</v>
      </c>
      <c r="Z43" s="187">
        <f t="shared" si="11"/>
        <v>0</v>
      </c>
      <c r="AA43" s="183">
        <f t="shared" si="12"/>
        <v>0</v>
      </c>
      <c r="AB43" s="187">
        <f t="shared" si="13"/>
        <v>0</v>
      </c>
      <c r="AC43" s="183">
        <f t="shared" si="14"/>
        <v>0</v>
      </c>
      <c r="AD43" s="188">
        <f t="shared" si="15"/>
        <v>0.99513888889487134</v>
      </c>
      <c r="AE43" s="188">
        <f t="shared" si="16"/>
        <v>0.99513888889487134</v>
      </c>
      <c r="AF43" s="188">
        <f t="shared" si="17"/>
        <v>0</v>
      </c>
      <c r="AG43" s="188">
        <f t="shared" si="18"/>
        <v>0</v>
      </c>
    </row>
    <row r="44" spans="2:33" ht="15" customHeight="1" x14ac:dyDescent="0.15">
      <c r="B44" s="174" t="s">
        <v>5</v>
      </c>
      <c r="C44" s="175" t="s">
        <v>13</v>
      </c>
      <c r="D44" s="176" t="str">
        <f t="shared" si="0"/>
        <v>C</v>
      </c>
      <c r="E44" s="177" t="d">
        <v>2021-12-16T21:59:59.99999979045242400</v>
      </c>
      <c r="F44" s="178" t="s">
        <v>82</v>
      </c>
      <c r="G44" s="179">
        <v>4661.07</v>
      </c>
      <c r="H44" s="179">
        <v>4684.1499999999996</v>
      </c>
      <c r="I44" s="180">
        <f t="shared" si="1"/>
        <v>23.079999999999927</v>
      </c>
      <c r="J44" s="179">
        <v>4511.03</v>
      </c>
      <c r="K44" s="177" t="d">
        <v>2021-12-16T22:37:00.00000011175870900</v>
      </c>
      <c r="L44" s="179">
        <v>4681.76</v>
      </c>
      <c r="M44" s="181">
        <f t="shared" si="2"/>
        <v>-20.69</v>
      </c>
      <c r="N44" s="182">
        <f t="shared" si="3"/>
        <v>-0.9</v>
      </c>
      <c r="O44" s="183">
        <f t="shared" si="4"/>
        <v>0</v>
      </c>
      <c r="P44" s="184">
        <f t="shared" si="5"/>
        <v>0</v>
      </c>
      <c r="Q44" s="184">
        <f t="shared" si="6"/>
        <v>-0.9</v>
      </c>
      <c r="R4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61702.5</v>
      </c>
      <c r="T4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44" s="186">
        <f ca="1">IF(Tabla33610673[[#This Row],[Equity]]&lt;Tabla33610673[[#This Row],[Equity Peak]],(Tabla33610673[[#This Row],[Equity Peak]]-Tabla33610673[[#This Row],[Equity]])/Tabla33610673[[#This Row],[Equity Peak]],"")</f>
        <v>4.155907036797934E-3</v>
      </c>
      <c r="V44" s="187">
        <f t="shared" si="7"/>
        <v>0</v>
      </c>
      <c r="W44" s="187">
        <f t="shared" si="8"/>
        <v>0</v>
      </c>
      <c r="X44" s="187">
        <f t="shared" si="9"/>
        <v>0</v>
      </c>
      <c r="Y44" s="187">
        <f t="shared" si="10"/>
        <v>0</v>
      </c>
      <c r="Z44" s="187">
        <f t="shared" si="11"/>
        <v>-0.9</v>
      </c>
      <c r="AA44" s="183">
        <f t="shared" si="12"/>
        <v>0</v>
      </c>
      <c r="AB44" s="187">
        <f t="shared" si="13"/>
        <v>0</v>
      </c>
      <c r="AC44" s="183">
        <f t="shared" si="14"/>
        <v>0</v>
      </c>
      <c r="AD44" s="188">
        <f t="shared" si="15"/>
        <v>2.5694444448163267E-2</v>
      </c>
      <c r="AE44" s="188">
        <f t="shared" si="16"/>
        <v>0</v>
      </c>
      <c r="AF44" s="188">
        <f t="shared" si="17"/>
        <v>2.5694444448163267E-2</v>
      </c>
      <c r="AG44" s="188">
        <f t="shared" si="18"/>
        <v>0</v>
      </c>
    </row>
    <row r="45" spans="2:33" ht="15" customHeight="1" x14ac:dyDescent="0.15">
      <c r="B45" s="174" t="s">
        <v>7</v>
      </c>
      <c r="C45" s="175" t="s">
        <v>15</v>
      </c>
      <c r="D45" s="176" t="str">
        <f t="shared" si="0"/>
        <v>C</v>
      </c>
      <c r="E45" s="177" t="d">
        <v>2021-12-15T22:15:00.00000020954757600</v>
      </c>
      <c r="F45" s="178" t="s">
        <v>102</v>
      </c>
      <c r="G45" s="179">
        <v>151.227</v>
      </c>
      <c r="H45" s="179">
        <v>150.92599999999999</v>
      </c>
      <c r="I45" s="180">
        <f t="shared" si="1"/>
        <v>0.30100000000001614</v>
      </c>
      <c r="J45" s="179">
        <v>152.83500000000001</v>
      </c>
      <c r="K45" s="177" t="d">
        <v>2021-12-16T16:05:59.99999970663339225</v>
      </c>
      <c r="L45" s="179">
        <v>152.09</v>
      </c>
      <c r="M45" s="181">
        <f t="shared" si="2"/>
        <v>0.86299999999999999</v>
      </c>
      <c r="N45" s="182">
        <f t="shared" si="3"/>
        <v>2.87</v>
      </c>
      <c r="O45" s="183">
        <f t="shared" si="4"/>
        <v>0</v>
      </c>
      <c r="P45" s="184">
        <f t="shared" si="5"/>
        <v>2.87</v>
      </c>
      <c r="Q45" s="184">
        <f t="shared" si="6"/>
        <v>0</v>
      </c>
      <c r="R4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61927.5</v>
      </c>
      <c r="T4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45" s="186">
        <f ca="1">IF(Tabla33610673[[#This Row],[Equity]]&lt;Tabla33610673[[#This Row],[Equity Peak]],(Tabla33610673[[#This Row],[Equity Peak]]-Tabla33610673[[#This Row],[Equity]])/Tabla33610673[[#This Row],[Equity Peak]],"")</f>
        <v>5.2453195610071017E-4</v>
      </c>
      <c r="V45" s="187">
        <f t="shared" si="7"/>
        <v>2.87</v>
      </c>
      <c r="W45" s="187">
        <f t="shared" si="8"/>
        <v>0</v>
      </c>
      <c r="X45" s="187">
        <f t="shared" si="9"/>
        <v>0</v>
      </c>
      <c r="Y45" s="187">
        <f t="shared" si="10"/>
        <v>0</v>
      </c>
      <c r="Z45" s="187">
        <f t="shared" si="11"/>
        <v>0</v>
      </c>
      <c r="AA45" s="183">
        <f t="shared" si="12"/>
        <v>0</v>
      </c>
      <c r="AB45" s="187">
        <f t="shared" si="13"/>
        <v>0</v>
      </c>
      <c r="AC45" s="183">
        <f t="shared" si="14"/>
        <v>0</v>
      </c>
      <c r="AD45" s="188">
        <f t="shared" si="15"/>
        <v>0.74374999999417923</v>
      </c>
      <c r="AE45" s="188">
        <f t="shared" si="16"/>
        <v>0.74374999999417923</v>
      </c>
      <c r="AF45" s="188">
        <f t="shared" si="17"/>
        <v>0</v>
      </c>
      <c r="AG45" s="188">
        <f t="shared" si="18"/>
        <v>0</v>
      </c>
    </row>
    <row r="46" spans="2:33" ht="15" customHeight="1" x14ac:dyDescent="0.15">
      <c r="B46" s="174" t="s">
        <v>5</v>
      </c>
      <c r="C46" s="175" t="s">
        <v>15</v>
      </c>
      <c r="D46" s="176" t="str">
        <f t="shared" si="0"/>
        <v>C</v>
      </c>
      <c r="E46" s="177" t="d">
        <v>2021-12-15T22:15:00.00000020954757600</v>
      </c>
      <c r="F46" s="178" t="s">
        <v>82</v>
      </c>
      <c r="G46" s="179">
        <v>4679.25</v>
      </c>
      <c r="H46" s="179">
        <v>4657.8999999999996</v>
      </c>
      <c r="I46" s="180">
        <f t="shared" si="1"/>
        <v>21.350000000000364</v>
      </c>
      <c r="J46" s="179">
        <v>4818.0200000000004</v>
      </c>
      <c r="K46" s="177" t="d">
        <v>2021-12-16T16:02:00.00000018160789875</v>
      </c>
      <c r="L46" s="179">
        <v>4728.33</v>
      </c>
      <c r="M46" s="181">
        <f t="shared" si="2"/>
        <v>49.08</v>
      </c>
      <c r="N46" s="182">
        <f t="shared" si="3"/>
        <v>2.2999999999999998</v>
      </c>
      <c r="O46" s="183">
        <f t="shared" si="4"/>
        <v>0</v>
      </c>
      <c r="P46" s="184">
        <f t="shared" si="5"/>
        <v>2.2999999999999998</v>
      </c>
      <c r="Q46" s="184">
        <f t="shared" si="6"/>
        <v>0</v>
      </c>
      <c r="R4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61210</v>
      </c>
      <c r="T4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46" s="186">
        <f ca="1">IF(Tabla33610673[[#This Row],[Equity]]&lt;Tabla33610673[[#This Row],[Equity Peak]],(Tabla33610673[[#This Row],[Equity Peak]]-Tabla33610673[[#This Row],[Equity]])/Tabla33610673[[#This Row],[Equity Peak]],"")</f>
        <v>1.210458360232408E-2</v>
      </c>
      <c r="V46" s="187">
        <f t="shared" si="7"/>
        <v>0</v>
      </c>
      <c r="W46" s="187">
        <f t="shared" si="8"/>
        <v>0</v>
      </c>
      <c r="X46" s="187">
        <f t="shared" si="9"/>
        <v>0</v>
      </c>
      <c r="Y46" s="187">
        <f t="shared" si="10"/>
        <v>0</v>
      </c>
      <c r="Z46" s="187">
        <f t="shared" si="11"/>
        <v>2.2999999999999998</v>
      </c>
      <c r="AA46" s="183">
        <f t="shared" si="12"/>
        <v>0</v>
      </c>
      <c r="AB46" s="187">
        <f t="shared" si="13"/>
        <v>0</v>
      </c>
      <c r="AC46" s="183">
        <f t="shared" si="14"/>
        <v>0</v>
      </c>
      <c r="AD46" s="188">
        <f t="shared" si="15"/>
        <v>0.74097222222189885</v>
      </c>
      <c r="AE46" s="188">
        <f t="shared" si="16"/>
        <v>0.74097222222189885</v>
      </c>
      <c r="AF46" s="188">
        <f t="shared" si="17"/>
        <v>0</v>
      </c>
      <c r="AG46" s="188">
        <f t="shared" si="18"/>
        <v>0</v>
      </c>
    </row>
    <row r="47" spans="2:33" ht="15" customHeight="1" x14ac:dyDescent="0.15">
      <c r="B47" s="174" t="s">
        <v>5</v>
      </c>
      <c r="C47" s="175" t="s">
        <v>15</v>
      </c>
      <c r="D47" s="176" t="str">
        <f t="shared" si="0"/>
        <v>C</v>
      </c>
      <c r="E47" s="177" t="d">
        <v>2021-12-15T22:30:00.000</v>
      </c>
      <c r="F47" s="178" t="s">
        <v>81</v>
      </c>
      <c r="G47" s="179">
        <v>16208.62</v>
      </c>
      <c r="H47" s="179">
        <v>16120</v>
      </c>
      <c r="I47" s="180">
        <f t="shared" si="1"/>
        <v>88.6200000000008</v>
      </c>
      <c r="J47" s="179">
        <v>16740.310000000001</v>
      </c>
      <c r="K47" s="177" t="d">
        <v>2021-12-16T15:14:59.99999979045242400</v>
      </c>
      <c r="L47" s="179">
        <v>16356.68</v>
      </c>
      <c r="M47" s="181">
        <f t="shared" si="2"/>
        <v>148.06</v>
      </c>
      <c r="N47" s="182">
        <f t="shared" si="3"/>
        <v>1.67</v>
      </c>
      <c r="O47" s="183">
        <f t="shared" si="4"/>
        <v>0</v>
      </c>
      <c r="P47" s="184">
        <f t="shared" si="5"/>
        <v>1.67</v>
      </c>
      <c r="Q47" s="184">
        <f t="shared" si="6"/>
        <v>0</v>
      </c>
      <c r="R4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60635</v>
      </c>
      <c r="T4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47" s="186">
        <f ca="1">IF(Tabla33610673[[#This Row],[Equity]]&lt;Tabla33610673[[#This Row],[Equity Peak]],(Tabla33610673[[#This Row],[Equity Peak]]-Tabla33610673[[#This Row],[Equity]])/Tabla33610673[[#This Row],[Equity Peak]],"")</f>
        <v>2.1384764364105874E-2</v>
      </c>
      <c r="V47" s="187">
        <f t="shared" si="7"/>
        <v>0</v>
      </c>
      <c r="W47" s="187">
        <f t="shared" si="8"/>
        <v>0</v>
      </c>
      <c r="X47" s="187">
        <f t="shared" si="9"/>
        <v>0</v>
      </c>
      <c r="Y47" s="187">
        <f t="shared" si="10"/>
        <v>0</v>
      </c>
      <c r="Z47" s="187">
        <f t="shared" si="11"/>
        <v>1.67</v>
      </c>
      <c r="AA47" s="183">
        <f t="shared" si="12"/>
        <v>0</v>
      </c>
      <c r="AB47" s="187">
        <f t="shared" si="13"/>
        <v>0</v>
      </c>
      <c r="AC47" s="183">
        <f t="shared" si="14"/>
        <v>0</v>
      </c>
      <c r="AD47" s="188">
        <f t="shared" si="15"/>
        <v>0.69791666666424135</v>
      </c>
      <c r="AE47" s="188">
        <f t="shared" si="16"/>
        <v>0.69791666666424135</v>
      </c>
      <c r="AF47" s="188">
        <f t="shared" si="17"/>
        <v>0</v>
      </c>
      <c r="AG47" s="188">
        <f t="shared" si="18"/>
        <v>0</v>
      </c>
    </row>
    <row r="48" spans="2:33" ht="15" customHeight="1" x14ac:dyDescent="0.15">
      <c r="B48" s="174" t="s">
        <v>7</v>
      </c>
      <c r="C48" s="175" t="s">
        <v>15</v>
      </c>
      <c r="D48" s="176" t="str">
        <f t="shared" si="0"/>
        <v>C</v>
      </c>
      <c r="E48" s="177" t="d">
        <v>2021-12-15T20:45:00.00000020954757600</v>
      </c>
      <c r="F48" s="178" t="s">
        <v>103</v>
      </c>
      <c r="G48" s="179">
        <v>113.983</v>
      </c>
      <c r="H48" s="179">
        <v>113.801</v>
      </c>
      <c r="I48" s="180">
        <f t="shared" si="1"/>
        <v>0.18200000000000216</v>
      </c>
      <c r="J48" s="179">
        <v>115.129</v>
      </c>
      <c r="K48" s="177" t="d">
        <v>2021-12-15T23:58:00.00000023748725325</v>
      </c>
      <c r="L48" s="179">
        <v>113.949</v>
      </c>
      <c r="M48" s="181">
        <f t="shared" si="2"/>
        <v>-3.4000000000000002E-2</v>
      </c>
      <c r="N48" s="182">
        <f t="shared" si="3"/>
        <v>-0.19</v>
      </c>
      <c r="O48" s="183">
        <f t="shared" si="4"/>
        <v>0</v>
      </c>
      <c r="P48" s="184">
        <f t="shared" si="5"/>
        <v>0</v>
      </c>
      <c r="Q48" s="184">
        <f t="shared" si="6"/>
        <v>-0.19</v>
      </c>
      <c r="R4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60217.5</v>
      </c>
      <c r="T4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48" s="186">
        <f ca="1">IF(Tabla33610673[[#This Row],[Equity]]&lt;Tabla33610673[[#This Row],[Equity Peak]],(Tabla33610673[[#This Row],[Equity Peak]]-Tabla33610673[[#This Row],[Equity]])/Tabla33610673[[#This Row],[Equity Peak]],"")</f>
        <v>2.8122982569399612E-2</v>
      </c>
      <c r="V48" s="187">
        <f t="shared" si="7"/>
        <v>-0.19</v>
      </c>
      <c r="W48" s="187">
        <f t="shared" si="8"/>
        <v>0</v>
      </c>
      <c r="X48" s="187">
        <f t="shared" si="9"/>
        <v>0</v>
      </c>
      <c r="Y48" s="187">
        <f t="shared" si="10"/>
        <v>0</v>
      </c>
      <c r="Z48" s="187">
        <f t="shared" si="11"/>
        <v>0</v>
      </c>
      <c r="AA48" s="183">
        <f t="shared" si="12"/>
        <v>0</v>
      </c>
      <c r="AB48" s="187">
        <f t="shared" si="13"/>
        <v>0</v>
      </c>
      <c r="AC48" s="183">
        <f t="shared" si="14"/>
        <v>0</v>
      </c>
      <c r="AD48" s="188">
        <f t="shared" si="15"/>
        <v>0.13402777777810115</v>
      </c>
      <c r="AE48" s="188">
        <f t="shared" si="16"/>
        <v>0</v>
      </c>
      <c r="AF48" s="188">
        <f t="shared" si="17"/>
        <v>0.13402777777810115</v>
      </c>
      <c r="AG48" s="188">
        <f t="shared" si="18"/>
        <v>0</v>
      </c>
    </row>
    <row r="49" spans="2:33" ht="15" customHeight="1" x14ac:dyDescent="0.15">
      <c r="B49" s="174" t="s">
        <v>5</v>
      </c>
      <c r="C49" s="175" t="s">
        <v>15</v>
      </c>
      <c r="D49" s="176" t="str">
        <f t="shared" si="0"/>
        <v>C</v>
      </c>
      <c r="E49" s="177" t="d">
        <v>2021-12-15T21:14:59.99999979045242400</v>
      </c>
      <c r="F49" s="178" t="s">
        <v>82</v>
      </c>
      <c r="G49" s="179">
        <v>4659.5</v>
      </c>
      <c r="H49" s="179">
        <v>4638.96</v>
      </c>
      <c r="I49" s="180">
        <f t="shared" si="1"/>
        <v>20.539999999999964</v>
      </c>
      <c r="J49" s="179">
        <v>4792.99</v>
      </c>
      <c r="K49" s="177" t="d">
        <v>2021-12-15T21:27:00.00000025145709525</v>
      </c>
      <c r="L49" s="179">
        <v>4638.96</v>
      </c>
      <c r="M49" s="181">
        <f t="shared" si="2"/>
        <v>-20.54</v>
      </c>
      <c r="N49" s="182">
        <f t="shared" si="3"/>
        <v>-1</v>
      </c>
      <c r="O49" s="183">
        <f t="shared" si="4"/>
        <v>0</v>
      </c>
      <c r="P49" s="184">
        <f t="shared" si="5"/>
        <v>0</v>
      </c>
      <c r="Q49" s="184">
        <f t="shared" si="6"/>
        <v>-1</v>
      </c>
      <c r="R4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60265</v>
      </c>
      <c r="T4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49" s="186">
        <f ca="1">IF(Tabla33610673[[#This Row],[Equity]]&lt;Tabla33610673[[#This Row],[Equity Peak]],(Tabla33610673[[#This Row],[Equity Peak]]-Tabla33610673[[#This Row],[Equity]])/Tabla33610673[[#This Row],[Equity Peak]],"")</f>
        <v>2.7356358941252421E-2</v>
      </c>
      <c r="V49" s="187">
        <f t="shared" si="7"/>
        <v>0</v>
      </c>
      <c r="W49" s="187">
        <f t="shared" si="8"/>
        <v>0</v>
      </c>
      <c r="X49" s="187">
        <f t="shared" si="9"/>
        <v>0</v>
      </c>
      <c r="Y49" s="187">
        <f t="shared" si="10"/>
        <v>0</v>
      </c>
      <c r="Z49" s="187">
        <f t="shared" si="11"/>
        <v>-1</v>
      </c>
      <c r="AA49" s="183">
        <f t="shared" si="12"/>
        <v>0</v>
      </c>
      <c r="AB49" s="187">
        <f t="shared" si="13"/>
        <v>0</v>
      </c>
      <c r="AC49" s="183">
        <f t="shared" si="14"/>
        <v>0</v>
      </c>
      <c r="AD49" s="188">
        <f t="shared" si="15"/>
        <v>8.3333333386690356E-3</v>
      </c>
      <c r="AE49" s="188">
        <f t="shared" si="16"/>
        <v>0</v>
      </c>
      <c r="AF49" s="188">
        <f t="shared" si="17"/>
        <v>8.3333333386690356E-3</v>
      </c>
      <c r="AG49" s="188">
        <f t="shared" si="18"/>
        <v>0</v>
      </c>
    </row>
    <row r="50" spans="2:33" ht="15" customHeight="1" x14ac:dyDescent="0.15">
      <c r="B50" s="174" t="s">
        <v>5</v>
      </c>
      <c r="C50" s="175" t="s">
        <v>13</v>
      </c>
      <c r="D50" s="176" t="str">
        <f t="shared" si="0"/>
        <v>C</v>
      </c>
      <c r="E50" s="177" t="d">
        <v>2021-12-15T16:44:59.99999979045242400</v>
      </c>
      <c r="F50" s="178" t="s">
        <v>82</v>
      </c>
      <c r="G50" s="179">
        <v>4625.72</v>
      </c>
      <c r="H50" s="179">
        <v>4645.1499999999996</v>
      </c>
      <c r="I50" s="180">
        <f t="shared" si="1"/>
        <v>19.429999999999382</v>
      </c>
      <c r="J50" s="179">
        <v>4499.45</v>
      </c>
      <c r="K50" s="177" t="d">
        <v>2021-12-15T21:04:00.00000015366822150</v>
      </c>
      <c r="L50" s="179">
        <v>4635.37</v>
      </c>
      <c r="M50" s="181">
        <f t="shared" si="2"/>
        <v>-9.65</v>
      </c>
      <c r="N50" s="182">
        <f t="shared" si="3"/>
        <v>-0.5</v>
      </c>
      <c r="O50" s="183">
        <f t="shared" si="4"/>
        <v>0</v>
      </c>
      <c r="P50" s="184">
        <f t="shared" si="5"/>
        <v>0</v>
      </c>
      <c r="Q50" s="184">
        <f t="shared" si="6"/>
        <v>-0.5</v>
      </c>
      <c r="R5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60515</v>
      </c>
      <c r="T5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50" s="186">
        <f ca="1">IF(Tabla33610673[[#This Row],[Equity]]&lt;Tabla33610673[[#This Row],[Equity Peak]],(Tabla33610673[[#This Row],[Equity Peak]]-Tabla33610673[[#This Row],[Equity]])/Tabla33610673[[#This Row],[Equity Peak]],"")</f>
        <v>2.3321497740477728E-2</v>
      </c>
      <c r="V50" s="187">
        <f t="shared" si="7"/>
        <v>0</v>
      </c>
      <c r="W50" s="187">
        <f t="shared" si="8"/>
        <v>0</v>
      </c>
      <c r="X50" s="187">
        <f t="shared" si="9"/>
        <v>0</v>
      </c>
      <c r="Y50" s="187">
        <f t="shared" si="10"/>
        <v>0</v>
      </c>
      <c r="Z50" s="187">
        <f t="shared" si="11"/>
        <v>-0.5</v>
      </c>
      <c r="AA50" s="183">
        <f t="shared" si="12"/>
        <v>0</v>
      </c>
      <c r="AB50" s="187">
        <f t="shared" si="13"/>
        <v>0</v>
      </c>
      <c r="AC50" s="183">
        <f t="shared" si="14"/>
        <v>0</v>
      </c>
      <c r="AD50" s="188">
        <f t="shared" si="15"/>
        <v>0.179861111115315</v>
      </c>
      <c r="AE50" s="188">
        <f t="shared" si="16"/>
        <v>0</v>
      </c>
      <c r="AF50" s="188">
        <f t="shared" si="17"/>
        <v>0.179861111115315</v>
      </c>
      <c r="AG50" s="188">
        <f t="shared" si="18"/>
        <v>0</v>
      </c>
    </row>
    <row r="51" spans="2:33" ht="15" customHeight="1" x14ac:dyDescent="0.15">
      <c r="B51" s="174" t="s">
        <v>7</v>
      </c>
      <c r="C51" s="175" t="s">
        <v>15</v>
      </c>
      <c r="D51" s="176" t="str">
        <f t="shared" si="0"/>
        <v>C</v>
      </c>
      <c r="E51" s="177" t="d">
        <v>2021-12-15T10:15:00.00000020954757600</v>
      </c>
      <c r="F51" s="178" t="s">
        <v>102</v>
      </c>
      <c r="G51" s="179">
        <v>150.887</v>
      </c>
      <c r="H51" s="179">
        <v>150.624</v>
      </c>
      <c r="I51" s="180">
        <f t="shared" si="1"/>
        <v>0.26300000000000523</v>
      </c>
      <c r="J51" s="179">
        <v>152.28800000000001</v>
      </c>
      <c r="K51" s="177" t="d">
        <v>2021-12-15T16:45:59.99999998603016475</v>
      </c>
      <c r="L51" s="179">
        <v>150.624</v>
      </c>
      <c r="M51" s="181">
        <f t="shared" si="2"/>
        <v>-0.26300000000000001</v>
      </c>
      <c r="N51" s="182">
        <f t="shared" si="3"/>
        <v>-1</v>
      </c>
      <c r="O51" s="183">
        <f t="shared" si="4"/>
        <v>0</v>
      </c>
      <c r="P51" s="184">
        <f t="shared" si="5"/>
        <v>0</v>
      </c>
      <c r="Q51" s="184">
        <f t="shared" si="6"/>
        <v>-1</v>
      </c>
      <c r="R5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60640</v>
      </c>
      <c r="T5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51" s="186">
        <f ca="1">IF(Tabla33610673[[#This Row],[Equity]]&lt;Tabla33610673[[#This Row],[Equity Peak]],(Tabla33610673[[#This Row],[Equity Peak]]-Tabla33610673[[#This Row],[Equity]])/Tabla33610673[[#This Row],[Equity Peak]],"")</f>
        <v>2.130406714009038E-2</v>
      </c>
      <c r="V51" s="187">
        <f t="shared" si="7"/>
        <v>-1</v>
      </c>
      <c r="W51" s="187">
        <f t="shared" si="8"/>
        <v>0</v>
      </c>
      <c r="X51" s="187">
        <f t="shared" si="9"/>
        <v>0</v>
      </c>
      <c r="Y51" s="187">
        <f t="shared" si="10"/>
        <v>0</v>
      </c>
      <c r="Z51" s="187">
        <f t="shared" si="11"/>
        <v>0</v>
      </c>
      <c r="AA51" s="183">
        <f t="shared" si="12"/>
        <v>0</v>
      </c>
      <c r="AB51" s="187">
        <f t="shared" si="13"/>
        <v>0</v>
      </c>
      <c r="AC51" s="183">
        <f t="shared" si="14"/>
        <v>0</v>
      </c>
      <c r="AD51" s="188">
        <f t="shared" si="15"/>
        <v>0.27152777777519077</v>
      </c>
      <c r="AE51" s="188">
        <f t="shared" si="16"/>
        <v>0</v>
      </c>
      <c r="AF51" s="188">
        <f t="shared" si="17"/>
        <v>0.27152777777519077</v>
      </c>
      <c r="AG51" s="188">
        <f t="shared" si="18"/>
        <v>0</v>
      </c>
    </row>
    <row r="52" spans="2:33" ht="15" customHeight="1" x14ac:dyDescent="0.15">
      <c r="B52" s="174" t="s">
        <v>5</v>
      </c>
      <c r="C52" s="175" t="s">
        <v>13</v>
      </c>
      <c r="D52" s="176" t="str">
        <f t="shared" si="0"/>
        <v>C</v>
      </c>
      <c r="E52" s="177" t="d">
        <v>2021-12-14T18:00:00.000</v>
      </c>
      <c r="F52" s="178" t="s">
        <v>80</v>
      </c>
      <c r="G52" s="179">
        <v>15456.37</v>
      </c>
      <c r="H52" s="179">
        <v>15518.34</v>
      </c>
      <c r="I52" s="180">
        <f t="shared" si="1"/>
        <v>61.969999999999345</v>
      </c>
      <c r="J52" s="179">
        <v>15001.96</v>
      </c>
      <c r="K52" s="177" t="d">
        <v>2021-12-15T02:15:00.000</v>
      </c>
      <c r="L52" s="179">
        <v>15518.34</v>
      </c>
      <c r="M52" s="181">
        <f t="shared" si="2"/>
        <v>-61.97</v>
      </c>
      <c r="N52" s="182">
        <f t="shared" si="3"/>
        <v>-1</v>
      </c>
      <c r="O52" s="183">
        <f t="shared" si="4"/>
        <v>0</v>
      </c>
      <c r="P52" s="184">
        <f t="shared" si="5"/>
        <v>0</v>
      </c>
      <c r="Q52" s="184">
        <f t="shared" si="6"/>
        <v>-1</v>
      </c>
      <c r="R5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60890</v>
      </c>
      <c r="T5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52" s="186">
        <f ca="1">IF(Tabla33610673[[#This Row],[Equity]]&lt;Tabla33610673[[#This Row],[Equity Peak]],(Tabla33610673[[#This Row],[Equity Peak]]-Tabla33610673[[#This Row],[Equity]])/Tabla33610673[[#This Row],[Equity Peak]],"")</f>
        <v>1.7269205939315687E-2</v>
      </c>
      <c r="V52" s="187">
        <f t="shared" si="7"/>
        <v>0</v>
      </c>
      <c r="W52" s="187">
        <f t="shared" si="8"/>
        <v>0</v>
      </c>
      <c r="X52" s="187">
        <f t="shared" si="9"/>
        <v>0</v>
      </c>
      <c r="Y52" s="187">
        <f t="shared" si="10"/>
        <v>0</v>
      </c>
      <c r="Z52" s="187">
        <f t="shared" si="11"/>
        <v>-1</v>
      </c>
      <c r="AA52" s="183">
        <f t="shared" si="12"/>
        <v>0</v>
      </c>
      <c r="AB52" s="187">
        <f t="shared" si="13"/>
        <v>0</v>
      </c>
      <c r="AC52" s="183">
        <f t="shared" si="14"/>
        <v>0</v>
      </c>
      <c r="AD52" s="188">
        <f t="shared" si="15"/>
        <v>0.34375</v>
      </c>
      <c r="AE52" s="188">
        <f t="shared" si="16"/>
        <v>0</v>
      </c>
      <c r="AF52" s="188">
        <f t="shared" si="17"/>
        <v>0.34375</v>
      </c>
      <c r="AG52" s="188">
        <f t="shared" si="18"/>
        <v>0</v>
      </c>
    </row>
    <row r="53" spans="2:33" ht="15" customHeight="1" x14ac:dyDescent="0.15">
      <c r="B53" s="174" t="s">
        <v>5</v>
      </c>
      <c r="C53" s="175" t="s">
        <v>13</v>
      </c>
      <c r="D53" s="176" t="str">
        <f t="shared" si="0"/>
        <v>C</v>
      </c>
      <c r="E53" s="177" t="d">
        <v>2021-12-14T18:00:00.000</v>
      </c>
      <c r="F53" s="178" t="s">
        <v>82</v>
      </c>
      <c r="G53" s="179">
        <v>4618.8100000000004</v>
      </c>
      <c r="H53" s="179">
        <v>4638.0600000000004</v>
      </c>
      <c r="I53" s="180">
        <f t="shared" si="1"/>
        <v>19.25</v>
      </c>
      <c r="J53" s="179">
        <v>4493.66</v>
      </c>
      <c r="K53" s="177" t="d">
        <v>2021-12-14T21:43:00.00000023748725325</v>
      </c>
      <c r="L53" s="179">
        <v>4627.7299999999996</v>
      </c>
      <c r="M53" s="181">
        <f t="shared" si="2"/>
        <v>-8.92</v>
      </c>
      <c r="N53" s="182">
        <f t="shared" si="3"/>
        <v>-0.46</v>
      </c>
      <c r="O53" s="183">
        <f t="shared" si="4"/>
        <v>0</v>
      </c>
      <c r="P53" s="184">
        <f t="shared" si="5"/>
        <v>0</v>
      </c>
      <c r="Q53" s="184">
        <f t="shared" si="6"/>
        <v>-0.46</v>
      </c>
      <c r="R5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61140</v>
      </c>
      <c r="T5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53" s="186">
        <f ca="1">IF(Tabla33610673[[#This Row],[Equity]]&lt;Tabla33610673[[#This Row],[Equity Peak]],(Tabla33610673[[#This Row],[Equity Peak]]-Tabla33610673[[#This Row],[Equity]])/Tabla33610673[[#This Row],[Equity Peak]],"")</f>
        <v>1.3234344738540994E-2</v>
      </c>
      <c r="V53" s="187">
        <f t="shared" si="7"/>
        <v>0</v>
      </c>
      <c r="W53" s="187">
        <f t="shared" si="8"/>
        <v>0</v>
      </c>
      <c r="X53" s="187">
        <f t="shared" si="9"/>
        <v>0</v>
      </c>
      <c r="Y53" s="187">
        <f t="shared" si="10"/>
        <v>0</v>
      </c>
      <c r="Z53" s="187">
        <f t="shared" si="11"/>
        <v>-0.46</v>
      </c>
      <c r="AA53" s="183">
        <f t="shared" si="12"/>
        <v>0</v>
      </c>
      <c r="AB53" s="187">
        <f t="shared" si="13"/>
        <v>0</v>
      </c>
      <c r="AC53" s="183">
        <f t="shared" si="14"/>
        <v>0</v>
      </c>
      <c r="AD53" s="188">
        <f t="shared" si="15"/>
        <v>0.15486111111385981</v>
      </c>
      <c r="AE53" s="188">
        <f t="shared" si="16"/>
        <v>0</v>
      </c>
      <c r="AF53" s="188">
        <f t="shared" si="17"/>
        <v>0.15486111111385981</v>
      </c>
      <c r="AG53" s="188">
        <f t="shared" si="18"/>
        <v>0</v>
      </c>
    </row>
    <row r="54" spans="2:33" ht="15" customHeight="1" x14ac:dyDescent="0.15">
      <c r="B54" s="174" t="s">
        <v>5</v>
      </c>
      <c r="C54" s="175" t="s">
        <v>13</v>
      </c>
      <c r="D54" s="176" t="str">
        <f t="shared" si="0"/>
        <v>C</v>
      </c>
      <c r="E54" s="177" t="d">
        <v>2021-12-14T16:30:00.000</v>
      </c>
      <c r="F54" s="178" t="s">
        <v>80</v>
      </c>
      <c r="G54" s="179">
        <v>15502.37</v>
      </c>
      <c r="H54" s="179">
        <v>15560.44</v>
      </c>
      <c r="I54" s="180">
        <f t="shared" si="1"/>
        <v>58.069999999999709</v>
      </c>
      <c r="J54" s="179">
        <v>15076.56</v>
      </c>
      <c r="K54" s="177" t="d">
        <v>2021-12-14T16:47:00.00000018160789875</v>
      </c>
      <c r="L54" s="179">
        <v>15560.44</v>
      </c>
      <c r="M54" s="181">
        <f t="shared" si="2"/>
        <v>-58.07</v>
      </c>
      <c r="N54" s="182">
        <f t="shared" si="3"/>
        <v>-1</v>
      </c>
      <c r="O54" s="183">
        <f t="shared" si="4"/>
        <v>0</v>
      </c>
      <c r="P54" s="184">
        <f t="shared" si="5"/>
        <v>0</v>
      </c>
      <c r="Q54" s="184">
        <f t="shared" si="6"/>
        <v>-1</v>
      </c>
      <c r="R5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61255</v>
      </c>
      <c r="T5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54" s="186">
        <f ca="1">IF(Tabla33610673[[#This Row],[Equity]]&lt;Tabla33610673[[#This Row],[Equity Peak]],(Tabla33610673[[#This Row],[Equity Peak]]-Tabla33610673[[#This Row],[Equity]])/Tabla33610673[[#This Row],[Equity Peak]],"")</f>
        <v>1.1378308586184636E-2</v>
      </c>
      <c r="V54" s="187">
        <f t="shared" si="7"/>
        <v>0</v>
      </c>
      <c r="W54" s="187">
        <f t="shared" si="8"/>
        <v>0</v>
      </c>
      <c r="X54" s="187">
        <f t="shared" si="9"/>
        <v>0</v>
      </c>
      <c r="Y54" s="187">
        <f t="shared" si="10"/>
        <v>0</v>
      </c>
      <c r="Z54" s="187">
        <f t="shared" si="11"/>
        <v>-1</v>
      </c>
      <c r="AA54" s="183">
        <f t="shared" si="12"/>
        <v>0</v>
      </c>
      <c r="AB54" s="187">
        <f t="shared" si="13"/>
        <v>0</v>
      </c>
      <c r="AC54" s="183">
        <f t="shared" si="14"/>
        <v>0</v>
      </c>
      <c r="AD54" s="188">
        <f t="shared" si="15"/>
        <v>1.1805555557657499E-2</v>
      </c>
      <c r="AE54" s="188">
        <f t="shared" si="16"/>
        <v>0</v>
      </c>
      <c r="AF54" s="188">
        <f t="shared" si="17"/>
        <v>1.1805555557657499E-2</v>
      </c>
      <c r="AG54" s="188">
        <f t="shared" si="18"/>
        <v>0</v>
      </c>
    </row>
    <row r="55" spans="2:33" ht="15" customHeight="1" x14ac:dyDescent="0.15">
      <c r="B55" s="174" t="s">
        <v>19</v>
      </c>
      <c r="C55" s="175" t="s">
        <v>13</v>
      </c>
      <c r="D55" s="176" t="str">
        <f t="shared" si="0"/>
        <v>C</v>
      </c>
      <c r="E55" s="177" t="d">
        <v>2021-12-14T15:30:00.00000020954757600</v>
      </c>
      <c r="F55" s="178" t="s">
        <v>77</v>
      </c>
      <c r="G55" s="179">
        <v>1779.44</v>
      </c>
      <c r="H55" s="179">
        <v>1783.45</v>
      </c>
      <c r="I55" s="180">
        <f t="shared" si="1"/>
        <v>4.0099999999999909</v>
      </c>
      <c r="J55" s="179">
        <v>1760.18</v>
      </c>
      <c r="K55" s="177" t="d">
        <v>2021-12-14T16:43:00.00000002793967725</v>
      </c>
      <c r="L55" s="179">
        <v>1771.78</v>
      </c>
      <c r="M55" s="181">
        <f t="shared" si="2"/>
        <v>7.66</v>
      </c>
      <c r="N55" s="182">
        <f t="shared" si="3"/>
        <v>1.91</v>
      </c>
      <c r="O55" s="183">
        <f t="shared" si="4"/>
        <v>0</v>
      </c>
      <c r="P55" s="184">
        <f t="shared" si="5"/>
        <v>1.91</v>
      </c>
      <c r="Q55" s="184">
        <f t="shared" si="6"/>
        <v>0</v>
      </c>
      <c r="R5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61505</v>
      </c>
      <c r="T5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55" s="186">
        <f ca="1">IF(Tabla33610673[[#This Row],[Equity]]&lt;Tabla33610673[[#This Row],[Equity Peak]],(Tabla33610673[[#This Row],[Equity Peak]]-Tabla33610673[[#This Row],[Equity]])/Tabla33610673[[#This Row],[Equity Peak]],"")</f>
        <v>7.3434473854099422E-3</v>
      </c>
      <c r="V55" s="187">
        <f t="shared" si="7"/>
        <v>0</v>
      </c>
      <c r="W55" s="187">
        <f t="shared" si="8"/>
        <v>0</v>
      </c>
      <c r="X55" s="187">
        <f t="shared" si="9"/>
        <v>1.91</v>
      </c>
      <c r="Y55" s="187">
        <f t="shared" si="10"/>
        <v>0</v>
      </c>
      <c r="Z55" s="187">
        <f t="shared" si="11"/>
        <v>0</v>
      </c>
      <c r="AA55" s="183">
        <f t="shared" si="12"/>
        <v>0</v>
      </c>
      <c r="AB55" s="187">
        <f t="shared" si="13"/>
        <v>0</v>
      </c>
      <c r="AC55" s="183">
        <f t="shared" si="14"/>
        <v>0</v>
      </c>
      <c r="AD55" s="188">
        <f t="shared" si="15"/>
        <v>5.0694444442342501E-2</v>
      </c>
      <c r="AE55" s="188">
        <f t="shared" si="16"/>
        <v>5.0694444442342501E-2</v>
      </c>
      <c r="AF55" s="188">
        <f t="shared" si="17"/>
        <v>0</v>
      </c>
      <c r="AG55" s="188">
        <f t="shared" si="18"/>
        <v>0</v>
      </c>
    </row>
    <row r="56" spans="2:33" ht="15" customHeight="1" x14ac:dyDescent="0.15">
      <c r="B56" s="174" t="s">
        <v>5</v>
      </c>
      <c r="C56" s="175" t="s">
        <v>13</v>
      </c>
      <c r="D56" s="176" t="str">
        <f t="shared" si="0"/>
        <v>C</v>
      </c>
      <c r="E56" s="177" t="d">
        <v>2021-12-14T12:00:00.000</v>
      </c>
      <c r="F56" s="178" t="s">
        <v>82</v>
      </c>
      <c r="G56" s="179">
        <v>4652.55</v>
      </c>
      <c r="H56" s="179">
        <v>4671.08</v>
      </c>
      <c r="I56" s="180">
        <f t="shared" si="1"/>
        <v>18.529999999999745</v>
      </c>
      <c r="J56" s="179">
        <v>4532.08</v>
      </c>
      <c r="K56" s="177" t="d">
        <v>2021-12-14T16:41:59.99999983236193650</v>
      </c>
      <c r="L56" s="179">
        <v>4653.3100000000004</v>
      </c>
      <c r="M56" s="181">
        <f t="shared" si="2"/>
        <v>-0.76</v>
      </c>
      <c r="N56" s="182">
        <f t="shared" si="3"/>
        <v>-0.04</v>
      </c>
      <c r="O56" s="183">
        <f t="shared" si="4"/>
        <v>0</v>
      </c>
      <c r="P56" s="184">
        <f t="shared" si="5"/>
        <v>0</v>
      </c>
      <c r="Q56" s="184">
        <f t="shared" si="6"/>
        <v>-0.04</v>
      </c>
      <c r="R5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61027.5</v>
      </c>
      <c r="T5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56" s="186">
        <f ca="1">IF(Tabla33610673[[#This Row],[Equity]]&lt;Tabla33610673[[#This Row],[Equity Peak]],(Tabla33610673[[#This Row],[Equity Peak]]-Tabla33610673[[#This Row],[Equity]])/Tabla33610673[[#This Row],[Equity Peak]],"")</f>
        <v>1.5050032278889605E-2</v>
      </c>
      <c r="V56" s="187">
        <f t="shared" si="7"/>
        <v>0</v>
      </c>
      <c r="W56" s="187">
        <f t="shared" si="8"/>
        <v>0</v>
      </c>
      <c r="X56" s="187">
        <f t="shared" si="9"/>
        <v>0</v>
      </c>
      <c r="Y56" s="187">
        <f t="shared" si="10"/>
        <v>0</v>
      </c>
      <c r="Z56" s="187">
        <f t="shared" si="11"/>
        <v>-0.04</v>
      </c>
      <c r="AA56" s="183">
        <f t="shared" si="12"/>
        <v>0</v>
      </c>
      <c r="AB56" s="187">
        <f t="shared" si="13"/>
        <v>0</v>
      </c>
      <c r="AC56" s="183">
        <f t="shared" si="14"/>
        <v>0</v>
      </c>
      <c r="AD56" s="188">
        <f t="shared" si="15"/>
        <v>0.19583333333139308</v>
      </c>
      <c r="AE56" s="188">
        <f t="shared" si="16"/>
        <v>0</v>
      </c>
      <c r="AF56" s="188">
        <f t="shared" si="17"/>
        <v>0.19583333333139308</v>
      </c>
      <c r="AG56" s="188">
        <f t="shared" si="18"/>
        <v>0</v>
      </c>
    </row>
    <row r="57" spans="2:33" ht="15" customHeight="1" x14ac:dyDescent="0.15">
      <c r="B57" s="174" t="s">
        <v>5</v>
      </c>
      <c r="C57" s="175" t="s">
        <v>13</v>
      </c>
      <c r="D57" s="176" t="str">
        <f t="shared" si="0"/>
        <v>C</v>
      </c>
      <c r="E57" s="177" t="d">
        <v>2021-12-13T23:00:00.00000020954757600</v>
      </c>
      <c r="F57" s="178" t="s">
        <v>81</v>
      </c>
      <c r="G57" s="179">
        <v>16088.62</v>
      </c>
      <c r="H57" s="179">
        <v>16157.86</v>
      </c>
      <c r="I57" s="180">
        <f t="shared" si="1"/>
        <v>69.239999999999782</v>
      </c>
      <c r="J57" s="179">
        <v>15673.19</v>
      </c>
      <c r="K57" s="177" t="d">
        <v>2021-12-14T16:37:00.00000011175870900</v>
      </c>
      <c r="L57" s="179">
        <v>15955.54</v>
      </c>
      <c r="M57" s="181">
        <f t="shared" si="2"/>
        <v>133.08000000000001</v>
      </c>
      <c r="N57" s="182">
        <f t="shared" si="3"/>
        <v>1.92</v>
      </c>
      <c r="O57" s="183">
        <f t="shared" si="4"/>
        <v>0</v>
      </c>
      <c r="P57" s="184">
        <f t="shared" si="5"/>
        <v>1.92</v>
      </c>
      <c r="Q57" s="184">
        <f t="shared" si="6"/>
        <v>0</v>
      </c>
      <c r="R5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61037.5</v>
      </c>
      <c r="T5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57" s="186">
        <f ca="1">IF(Tabla33610673[[#This Row],[Equity]]&lt;Tabla33610673[[#This Row],[Equity Peak]],(Tabla33610673[[#This Row],[Equity Peak]]-Tabla33610673[[#This Row],[Equity]])/Tabla33610673[[#This Row],[Equity Peak]],"")</f>
        <v>1.4888637830858618E-2</v>
      </c>
      <c r="V57" s="187">
        <f t="shared" si="7"/>
        <v>0</v>
      </c>
      <c r="W57" s="187">
        <f t="shared" si="8"/>
        <v>0</v>
      </c>
      <c r="X57" s="187">
        <f t="shared" si="9"/>
        <v>0</v>
      </c>
      <c r="Y57" s="187">
        <f t="shared" si="10"/>
        <v>0</v>
      </c>
      <c r="Z57" s="187">
        <f t="shared" si="11"/>
        <v>1.92</v>
      </c>
      <c r="AA57" s="183">
        <f t="shared" si="12"/>
        <v>0</v>
      </c>
      <c r="AB57" s="187">
        <f t="shared" si="13"/>
        <v>0</v>
      </c>
      <c r="AC57" s="183">
        <f t="shared" si="14"/>
        <v>0</v>
      </c>
      <c r="AD57" s="188">
        <f t="shared" si="15"/>
        <v>0.73402777777664596</v>
      </c>
      <c r="AE57" s="188">
        <f t="shared" si="16"/>
        <v>0.73402777777664596</v>
      </c>
      <c r="AF57" s="188">
        <f t="shared" si="17"/>
        <v>0</v>
      </c>
      <c r="AG57" s="188">
        <f t="shared" si="18"/>
        <v>0</v>
      </c>
    </row>
    <row r="58" spans="2:33" ht="15" customHeight="1" x14ac:dyDescent="0.15">
      <c r="B58" s="174" t="s">
        <v>5</v>
      </c>
      <c r="C58" s="175" t="s">
        <v>15</v>
      </c>
      <c r="D58" s="176" t="str">
        <f t="shared" si="0"/>
        <v>C</v>
      </c>
      <c r="E58" s="177" t="d">
        <v>2021-12-10T23:00:00.00000020954757600</v>
      </c>
      <c r="F58" s="178" t="s">
        <v>82</v>
      </c>
      <c r="G58" s="179">
        <v>4711.93</v>
      </c>
      <c r="H58" s="179">
        <v>4690.3599999999997</v>
      </c>
      <c r="I58" s="180">
        <f t="shared" si="1"/>
        <v>21.570000000000618</v>
      </c>
      <c r="J58" s="179">
        <v>4852.12</v>
      </c>
      <c r="K58" s="177" t="d">
        <v>2021-12-13T16:25:59.99999984633177850</v>
      </c>
      <c r="L58" s="179">
        <v>4711.04</v>
      </c>
      <c r="M58" s="181">
        <f t="shared" si="2"/>
        <v>-0.89</v>
      </c>
      <c r="N58" s="182">
        <f t="shared" si="3"/>
        <v>-0.04</v>
      </c>
      <c r="O58" s="183">
        <f t="shared" si="4"/>
        <v>0</v>
      </c>
      <c r="P58" s="184">
        <f t="shared" si="5"/>
        <v>0</v>
      </c>
      <c r="Q58" s="184">
        <f t="shared" si="6"/>
        <v>-0.04</v>
      </c>
      <c r="R5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60557.5</v>
      </c>
      <c r="T5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58" s="186">
        <f ca="1">IF(Tabla33610673[[#This Row],[Equity]]&lt;Tabla33610673[[#This Row],[Equity Peak]],(Tabla33610673[[#This Row],[Equity Peak]]-Tabla33610673[[#This Row],[Equity]])/Tabla33610673[[#This Row],[Equity Peak]],"")</f>
        <v>2.2635571336346031E-2</v>
      </c>
      <c r="V58" s="187">
        <f t="shared" si="7"/>
        <v>0</v>
      </c>
      <c r="W58" s="187">
        <f t="shared" si="8"/>
        <v>0</v>
      </c>
      <c r="X58" s="187">
        <f t="shared" si="9"/>
        <v>0</v>
      </c>
      <c r="Y58" s="187">
        <f t="shared" si="10"/>
        <v>0</v>
      </c>
      <c r="Z58" s="187">
        <f t="shared" si="11"/>
        <v>-0.04</v>
      </c>
      <c r="AA58" s="183">
        <f t="shared" si="12"/>
        <v>0</v>
      </c>
      <c r="AB58" s="187">
        <f t="shared" si="13"/>
        <v>0</v>
      </c>
      <c r="AC58" s="183">
        <f t="shared" si="14"/>
        <v>0</v>
      </c>
      <c r="AD58" s="188">
        <f t="shared" si="15"/>
        <v>2.726388888884685</v>
      </c>
      <c r="AE58" s="188">
        <f t="shared" si="16"/>
        <v>0</v>
      </c>
      <c r="AF58" s="188">
        <f t="shared" si="17"/>
        <v>2.726388888884685</v>
      </c>
      <c r="AG58" s="188">
        <f t="shared" si="18"/>
        <v>0</v>
      </c>
    </row>
    <row r="59" spans="2:33" ht="15" customHeight="1" x14ac:dyDescent="0.15">
      <c r="B59" s="174" t="s">
        <v>19</v>
      </c>
      <c r="C59" s="175" t="s">
        <v>15</v>
      </c>
      <c r="D59" s="176" t="str">
        <f t="shared" si="0"/>
        <v>C</v>
      </c>
      <c r="E59" s="177" t="d">
        <v>2021-12-13T14:29:59.99999979045242400</v>
      </c>
      <c r="F59" s="178" t="s">
        <v>77</v>
      </c>
      <c r="G59" s="179">
        <v>1789.69</v>
      </c>
      <c r="H59" s="179">
        <v>1785.56</v>
      </c>
      <c r="I59" s="180">
        <f t="shared" si="1"/>
        <v>4.1300000000001091</v>
      </c>
      <c r="J59" s="179">
        <v>1809.51</v>
      </c>
      <c r="K59" s="177" t="d">
        <v>2021-12-13T15:13:00.00000002793967725</v>
      </c>
      <c r="L59" s="179">
        <v>1785.56</v>
      </c>
      <c r="M59" s="181">
        <f t="shared" si="2"/>
        <v>-4.13</v>
      </c>
      <c r="N59" s="182">
        <f t="shared" si="3"/>
        <v>-1</v>
      </c>
      <c r="O59" s="183">
        <f t="shared" si="4"/>
        <v>0</v>
      </c>
      <c r="P59" s="184">
        <f t="shared" si="5"/>
        <v>0</v>
      </c>
      <c r="Q59" s="184">
        <f t="shared" si="6"/>
        <v>-1</v>
      </c>
      <c r="R5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60567.5</v>
      </c>
      <c r="T5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59" s="186">
        <f ca="1">IF(Tabla33610673[[#This Row],[Equity]]&lt;Tabla33610673[[#This Row],[Equity Peak]],(Tabla33610673[[#This Row],[Equity Peak]]-Tabla33610673[[#This Row],[Equity]])/Tabla33610673[[#This Row],[Equity Peak]],"")</f>
        <v>2.2474176888315042E-2</v>
      </c>
      <c r="V59" s="187">
        <f t="shared" si="7"/>
        <v>0</v>
      </c>
      <c r="W59" s="187">
        <f t="shared" si="8"/>
        <v>0</v>
      </c>
      <c r="X59" s="187">
        <f t="shared" si="9"/>
        <v>-1</v>
      </c>
      <c r="Y59" s="187">
        <f t="shared" si="10"/>
        <v>0</v>
      </c>
      <c r="Z59" s="187">
        <f t="shared" si="11"/>
        <v>0</v>
      </c>
      <c r="AA59" s="183">
        <f t="shared" si="12"/>
        <v>0</v>
      </c>
      <c r="AB59" s="187">
        <f t="shared" si="13"/>
        <v>0</v>
      </c>
      <c r="AC59" s="183">
        <f t="shared" si="14"/>
        <v>0</v>
      </c>
      <c r="AD59" s="188">
        <f t="shared" si="15"/>
        <v>2.9861111113859806E-2</v>
      </c>
      <c r="AE59" s="188">
        <f t="shared" si="16"/>
        <v>0</v>
      </c>
      <c r="AF59" s="188">
        <f t="shared" si="17"/>
        <v>2.9861111113859806E-2</v>
      </c>
      <c r="AG59" s="188">
        <f t="shared" si="18"/>
        <v>0</v>
      </c>
    </row>
    <row r="60" spans="2:33" ht="15" customHeight="1" x14ac:dyDescent="0.15">
      <c r="B60" s="174" t="s">
        <v>5</v>
      </c>
      <c r="C60" s="175" t="s">
        <v>15</v>
      </c>
      <c r="D60" s="176" t="str">
        <f t="shared" si="0"/>
        <v>C</v>
      </c>
      <c r="E60" s="177" t="d">
        <v>2021-12-10T15:45:00.000</v>
      </c>
      <c r="F60" s="178" t="s">
        <v>82</v>
      </c>
      <c r="G60" s="179">
        <v>4704.46</v>
      </c>
      <c r="H60" s="179">
        <v>4683.7700000000004</v>
      </c>
      <c r="I60" s="180">
        <f t="shared" si="1"/>
        <v>20.6899999999996</v>
      </c>
      <c r="J60" s="179">
        <v>4838.96</v>
      </c>
      <c r="K60" s="177" t="d">
        <v>2021-12-10T17:38:00.000000097788870375</v>
      </c>
      <c r="L60" s="179">
        <v>4683.7700000000004</v>
      </c>
      <c r="M60" s="181">
        <f t="shared" si="2"/>
        <v>-20.69</v>
      </c>
      <c r="N60" s="182">
        <f t="shared" si="3"/>
        <v>-1</v>
      </c>
      <c r="O60" s="183">
        <f t="shared" si="4"/>
        <v>0</v>
      </c>
      <c r="P60" s="184">
        <f t="shared" si="5"/>
        <v>0</v>
      </c>
      <c r="Q60" s="184">
        <f t="shared" si="6"/>
        <v>-1</v>
      </c>
      <c r="R6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60817.5</v>
      </c>
      <c r="T6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60" s="186">
        <f ca="1">IF(Tabla33610673[[#This Row],[Equity]]&lt;Tabla33610673[[#This Row],[Equity Peak]],(Tabla33610673[[#This Row],[Equity Peak]]-Tabla33610673[[#This Row],[Equity]])/Tabla33610673[[#This Row],[Equity Peak]],"")</f>
        <v>1.8439315687540349E-2</v>
      </c>
      <c r="V60" s="187">
        <f t="shared" si="7"/>
        <v>0</v>
      </c>
      <c r="W60" s="187">
        <f t="shared" si="8"/>
        <v>0</v>
      </c>
      <c r="X60" s="187">
        <f t="shared" si="9"/>
        <v>0</v>
      </c>
      <c r="Y60" s="187">
        <f t="shared" si="10"/>
        <v>0</v>
      </c>
      <c r="Z60" s="187">
        <f t="shared" si="11"/>
        <v>-1</v>
      </c>
      <c r="AA60" s="183">
        <f t="shared" si="12"/>
        <v>0</v>
      </c>
      <c r="AB60" s="187">
        <f t="shared" si="13"/>
        <v>0</v>
      </c>
      <c r="AC60" s="183">
        <f t="shared" si="14"/>
        <v>0</v>
      </c>
      <c r="AD60" s="188">
        <f t="shared" si="15"/>
        <v>7.8472222223354038E-2</v>
      </c>
      <c r="AE60" s="188">
        <f t="shared" si="16"/>
        <v>0</v>
      </c>
      <c r="AF60" s="188">
        <f t="shared" si="17"/>
        <v>7.8472222223354038E-2</v>
      </c>
      <c r="AG60" s="188">
        <f t="shared" si="18"/>
        <v>0</v>
      </c>
    </row>
    <row r="61" spans="2:33" ht="15" customHeight="1" x14ac:dyDescent="0.15">
      <c r="B61" s="174" t="s">
        <v>19</v>
      </c>
      <c r="C61" s="175" t="s">
        <v>15</v>
      </c>
      <c r="D61" s="176" t="str">
        <f t="shared" si="0"/>
        <v>C</v>
      </c>
      <c r="E61" s="177" t="d">
        <v>2021-12-10T15:59:59.99999979045242400</v>
      </c>
      <c r="F61" s="178" t="s">
        <v>77</v>
      </c>
      <c r="G61" s="179">
        <v>1784.29</v>
      </c>
      <c r="H61" s="179">
        <v>1779.77</v>
      </c>
      <c r="I61" s="180">
        <f t="shared" si="1"/>
        <v>4.5199999999999818</v>
      </c>
      <c r="J61" s="179">
        <v>1805.97</v>
      </c>
      <c r="K61" s="177" t="d">
        <v>2021-12-10T16:38:00.00000030733644975</v>
      </c>
      <c r="L61" s="179">
        <v>1779.77</v>
      </c>
      <c r="M61" s="181">
        <f t="shared" si="2"/>
        <v>-4.5199999999999996</v>
      </c>
      <c r="N61" s="182">
        <f t="shared" si="3"/>
        <v>-1</v>
      </c>
      <c r="O61" s="183">
        <f t="shared" si="4"/>
        <v>0</v>
      </c>
      <c r="P61" s="184">
        <f t="shared" si="5"/>
        <v>0</v>
      </c>
      <c r="Q61" s="184">
        <f t="shared" si="6"/>
        <v>-1</v>
      </c>
      <c r="R6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61067.5</v>
      </c>
      <c r="T6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61" s="186">
        <f ca="1">IF(Tabla33610673[[#This Row],[Equity]]&lt;Tabla33610673[[#This Row],[Equity Peak]],(Tabla33610673[[#This Row],[Equity Peak]]-Tabla33610673[[#This Row],[Equity]])/Tabla33610673[[#This Row],[Equity Peak]],"")</f>
        <v>1.4404454486765656E-2</v>
      </c>
      <c r="V61" s="187">
        <f t="shared" si="7"/>
        <v>0</v>
      </c>
      <c r="W61" s="187">
        <f t="shared" si="8"/>
        <v>0</v>
      </c>
      <c r="X61" s="187">
        <f t="shared" si="9"/>
        <v>-1</v>
      </c>
      <c r="Y61" s="187">
        <f t="shared" si="10"/>
        <v>0</v>
      </c>
      <c r="Z61" s="187">
        <f t="shared" si="11"/>
        <v>0</v>
      </c>
      <c r="AA61" s="183">
        <f t="shared" si="12"/>
        <v>0</v>
      </c>
      <c r="AB61" s="187">
        <f t="shared" si="13"/>
        <v>0</v>
      </c>
      <c r="AC61" s="183">
        <f t="shared" si="14"/>
        <v>0</v>
      </c>
      <c r="AD61" s="188">
        <f t="shared" si="15"/>
        <v>2.6388888894871343E-2</v>
      </c>
      <c r="AE61" s="188">
        <f t="shared" si="16"/>
        <v>0</v>
      </c>
      <c r="AF61" s="188">
        <f t="shared" si="17"/>
        <v>2.6388888894871343E-2</v>
      </c>
      <c r="AG61" s="188">
        <f t="shared" si="18"/>
        <v>0</v>
      </c>
    </row>
    <row r="62" spans="2:33" ht="15" customHeight="1" x14ac:dyDescent="0.15">
      <c r="B62" s="174" t="s">
        <v>19</v>
      </c>
      <c r="C62" s="175" t="s">
        <v>13</v>
      </c>
      <c r="D62" s="176" t="str">
        <f t="shared" si="0"/>
        <v>C</v>
      </c>
      <c r="E62" s="177" t="d">
        <v>2021-12-09T12:14:59.99999979045242400</v>
      </c>
      <c r="F62" s="178" t="s">
        <v>77</v>
      </c>
      <c r="G62" s="179">
        <v>1781.67</v>
      </c>
      <c r="H62" s="179">
        <v>1786.3</v>
      </c>
      <c r="I62" s="180">
        <f t="shared" si="1"/>
        <v>4.6299999999998818</v>
      </c>
      <c r="J62" s="179">
        <v>1759.43</v>
      </c>
      <c r="K62" s="177" t="d">
        <v>2021-12-10T15:11:00.00000026542693050</v>
      </c>
      <c r="L62" s="179">
        <v>1775.09</v>
      </c>
      <c r="M62" s="181">
        <f t="shared" si="2"/>
        <v>6.58</v>
      </c>
      <c r="N62" s="182">
        <f t="shared" si="3"/>
        <v>1.42</v>
      </c>
      <c r="O62" s="183">
        <f t="shared" si="4"/>
        <v>0</v>
      </c>
      <c r="P62" s="184">
        <f t="shared" si="5"/>
        <v>1.42</v>
      </c>
      <c r="Q62" s="184">
        <f t="shared" si="6"/>
        <v>0</v>
      </c>
      <c r="R6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61317.5</v>
      </c>
      <c r="T6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62" s="186">
        <f ca="1">IF(Tabla33610673[[#This Row],[Equity]]&lt;Tabla33610673[[#This Row],[Equity Peak]],(Tabla33610673[[#This Row],[Equity Peak]]-Tabla33610673[[#This Row],[Equity]])/Tabla33610673[[#This Row],[Equity Peak]],"")</f>
        <v>1.0369593285990962E-2</v>
      </c>
      <c r="V62" s="187">
        <f t="shared" si="7"/>
        <v>0</v>
      </c>
      <c r="W62" s="187">
        <f t="shared" si="8"/>
        <v>0</v>
      </c>
      <c r="X62" s="187">
        <f t="shared" si="9"/>
        <v>1.42</v>
      </c>
      <c r="Y62" s="187">
        <f t="shared" si="10"/>
        <v>0</v>
      </c>
      <c r="Z62" s="187">
        <f t="shared" si="11"/>
        <v>0</v>
      </c>
      <c r="AA62" s="183">
        <f t="shared" si="12"/>
        <v>0</v>
      </c>
      <c r="AB62" s="187">
        <f t="shared" si="13"/>
        <v>0</v>
      </c>
      <c r="AC62" s="183">
        <f t="shared" si="14"/>
        <v>0</v>
      </c>
      <c r="AD62" s="188">
        <f t="shared" si="15"/>
        <v>1.1222222222277196</v>
      </c>
      <c r="AE62" s="188">
        <f t="shared" si="16"/>
        <v>1.1222222222277196</v>
      </c>
      <c r="AF62" s="188">
        <f t="shared" si="17"/>
        <v>0</v>
      </c>
      <c r="AG62" s="188">
        <f t="shared" si="18"/>
        <v>0</v>
      </c>
    </row>
    <row r="63" spans="2:33" ht="15" customHeight="1" x14ac:dyDescent="0.15">
      <c r="B63" s="174" t="s">
        <v>5</v>
      </c>
      <c r="C63" s="175" t="s">
        <v>13</v>
      </c>
      <c r="D63" s="176" t="str">
        <f t="shared" si="0"/>
        <v>C</v>
      </c>
      <c r="E63" s="177" t="d">
        <v>2021-12-09T23:15:00.000</v>
      </c>
      <c r="F63" s="178" t="s">
        <v>81</v>
      </c>
      <c r="G63" s="179">
        <v>16135.9</v>
      </c>
      <c r="H63" s="179">
        <v>16206.54</v>
      </c>
      <c r="I63" s="180">
        <f t="shared" si="1"/>
        <v>70.640000000001237</v>
      </c>
      <c r="J63" s="179">
        <v>15712.08</v>
      </c>
      <c r="K63" s="177" t="d">
        <v>2021-12-10T13:08:00.000000097788870375</v>
      </c>
      <c r="L63" s="179">
        <v>16206.54</v>
      </c>
      <c r="M63" s="181">
        <f t="shared" si="2"/>
        <v>-70.64</v>
      </c>
      <c r="N63" s="182">
        <f t="shared" si="3"/>
        <v>-1</v>
      </c>
      <c r="O63" s="183">
        <f t="shared" si="4"/>
        <v>0</v>
      </c>
      <c r="P63" s="184">
        <f t="shared" si="5"/>
        <v>0</v>
      </c>
      <c r="Q63" s="184">
        <f t="shared" si="6"/>
        <v>-1</v>
      </c>
      <c r="R6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60962.5</v>
      </c>
      <c r="T6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63" s="186">
        <f ca="1">IF(Tabla33610673[[#This Row],[Equity]]&lt;Tabla33610673[[#This Row],[Equity Peak]],(Tabla33610673[[#This Row],[Equity Peak]]-Tabla33610673[[#This Row],[Equity]])/Tabla33610673[[#This Row],[Equity Peak]],"")</f>
        <v>1.6099096191091025E-2</v>
      </c>
      <c r="V63" s="187">
        <f t="shared" si="7"/>
        <v>0</v>
      </c>
      <c r="W63" s="187">
        <f t="shared" si="8"/>
        <v>0</v>
      </c>
      <c r="X63" s="187">
        <f t="shared" si="9"/>
        <v>0</v>
      </c>
      <c r="Y63" s="187">
        <f t="shared" si="10"/>
        <v>0</v>
      </c>
      <c r="Z63" s="187">
        <f t="shared" si="11"/>
        <v>-1</v>
      </c>
      <c r="AA63" s="183">
        <f t="shared" si="12"/>
        <v>0</v>
      </c>
      <c r="AB63" s="187">
        <f t="shared" si="13"/>
        <v>0</v>
      </c>
      <c r="AC63" s="183">
        <f t="shared" si="14"/>
        <v>0</v>
      </c>
      <c r="AD63" s="188">
        <f t="shared" si="15"/>
        <v>0.57847222222335404</v>
      </c>
      <c r="AE63" s="188">
        <f t="shared" si="16"/>
        <v>0</v>
      </c>
      <c r="AF63" s="188">
        <f t="shared" si="17"/>
        <v>0.57847222222335404</v>
      </c>
      <c r="AG63" s="188">
        <f t="shared" si="18"/>
        <v>0</v>
      </c>
    </row>
    <row r="64" spans="2:33" ht="15" customHeight="1" x14ac:dyDescent="0.15">
      <c r="B64" s="174" t="s">
        <v>5</v>
      </c>
      <c r="C64" s="175" t="s">
        <v>15</v>
      </c>
      <c r="D64" s="176" t="str">
        <f t="shared" si="0"/>
        <v>C</v>
      </c>
      <c r="E64" s="177" t="d">
        <v>2021-12-06T20:00:00.00000020954757600</v>
      </c>
      <c r="F64" s="178" t="s">
        <v>82</v>
      </c>
      <c r="G64" s="179">
        <v>4602.67</v>
      </c>
      <c r="H64" s="179">
        <v>4562.72</v>
      </c>
      <c r="I64" s="180">
        <f t="shared" si="1"/>
        <v>39.949999999999818</v>
      </c>
      <c r="J64" s="179">
        <v>4862.3100000000004</v>
      </c>
      <c r="K64" s="177" t="d">
        <v>2021-12-09T17:32:59.99999974854290475</v>
      </c>
      <c r="L64" s="179">
        <v>4676.18</v>
      </c>
      <c r="M64" s="181">
        <f t="shared" si="2"/>
        <v>73.510000000000005</v>
      </c>
      <c r="N64" s="182">
        <f t="shared" si="3"/>
        <v>1.84</v>
      </c>
      <c r="O64" s="183">
        <f t="shared" si="4"/>
        <v>0</v>
      </c>
      <c r="P64" s="184">
        <f t="shared" si="5"/>
        <v>1.84</v>
      </c>
      <c r="Q64" s="184">
        <f t="shared" si="6"/>
        <v>0</v>
      </c>
      <c r="R6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61212.5</v>
      </c>
      <c r="T6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64" s="186">
        <f ca="1">IF(Tabla33610673[[#This Row],[Equity]]&lt;Tabla33610673[[#This Row],[Equity Peak]],(Tabla33610673[[#This Row],[Equity Peak]]-Tabla33610673[[#This Row],[Equity]])/Tabla33610673[[#This Row],[Equity Peak]],"")</f>
        <v>1.2064234990316332E-2</v>
      </c>
      <c r="V64" s="187">
        <f t="shared" si="7"/>
        <v>0</v>
      </c>
      <c r="W64" s="187">
        <f t="shared" si="8"/>
        <v>0</v>
      </c>
      <c r="X64" s="187">
        <f t="shared" si="9"/>
        <v>0</v>
      </c>
      <c r="Y64" s="187">
        <f t="shared" si="10"/>
        <v>0</v>
      </c>
      <c r="Z64" s="187">
        <f t="shared" si="11"/>
        <v>1.84</v>
      </c>
      <c r="AA64" s="183">
        <f t="shared" si="12"/>
        <v>0</v>
      </c>
      <c r="AB64" s="187">
        <f t="shared" si="13"/>
        <v>0</v>
      </c>
      <c r="AC64" s="183">
        <f t="shared" si="14"/>
        <v>0</v>
      </c>
      <c r="AD64" s="188">
        <f t="shared" si="15"/>
        <v>2.897916666661331</v>
      </c>
      <c r="AE64" s="188">
        <f t="shared" si="16"/>
        <v>2.897916666661331</v>
      </c>
      <c r="AF64" s="188">
        <f t="shared" si="17"/>
        <v>0</v>
      </c>
      <c r="AG64" s="188">
        <f t="shared" si="18"/>
        <v>0</v>
      </c>
    </row>
    <row r="65" spans="2:33" ht="15" customHeight="1" x14ac:dyDescent="0.15">
      <c r="B65" s="174" t="s">
        <v>5</v>
      </c>
      <c r="C65" s="175" t="s">
        <v>15</v>
      </c>
      <c r="D65" s="176" t="str">
        <f t="shared" si="0"/>
        <v>C</v>
      </c>
      <c r="E65" s="177" t="d">
        <v>2021-12-07T11:15:00.000</v>
      </c>
      <c r="F65" s="178" t="s">
        <v>81</v>
      </c>
      <c r="G65" s="179">
        <v>16115.84</v>
      </c>
      <c r="H65" s="179">
        <v>16001.98</v>
      </c>
      <c r="I65" s="180">
        <f t="shared" si="1"/>
        <v>113.86000000000058</v>
      </c>
      <c r="J65" s="179">
        <v>16799</v>
      </c>
      <c r="K65" s="177" t="d">
        <v>2021-12-08T15:40:59.99999984633177850</v>
      </c>
      <c r="L65" s="179">
        <v>16322.04</v>
      </c>
      <c r="M65" s="181">
        <f t="shared" si="2"/>
        <v>206.2</v>
      </c>
      <c r="N65" s="182">
        <f t="shared" si="3"/>
        <v>1.81</v>
      </c>
      <c r="O65" s="183">
        <f t="shared" si="4"/>
        <v>0</v>
      </c>
      <c r="P65" s="184">
        <f t="shared" si="5"/>
        <v>1.81</v>
      </c>
      <c r="Q65" s="184">
        <f t="shared" si="6"/>
        <v>0</v>
      </c>
      <c r="R6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60752.5</v>
      </c>
      <c r="T6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65" s="186">
        <f ca="1">IF(Tabla33610673[[#This Row],[Equity]]&lt;Tabla33610673[[#This Row],[Equity Peak]],(Tabla33610673[[#This Row],[Equity Peak]]-Tabla33610673[[#This Row],[Equity]])/Tabla33610673[[#This Row],[Equity Peak]],"")</f>
        <v>1.948837959974177E-2</v>
      </c>
      <c r="V65" s="187">
        <f t="shared" si="7"/>
        <v>0</v>
      </c>
      <c r="W65" s="187">
        <f t="shared" si="8"/>
        <v>0</v>
      </c>
      <c r="X65" s="187">
        <f t="shared" si="9"/>
        <v>0</v>
      </c>
      <c r="Y65" s="187">
        <f t="shared" si="10"/>
        <v>0</v>
      </c>
      <c r="Z65" s="187">
        <f t="shared" si="11"/>
        <v>1.81</v>
      </c>
      <c r="AA65" s="183">
        <f t="shared" si="12"/>
        <v>0</v>
      </c>
      <c r="AB65" s="187">
        <f t="shared" si="13"/>
        <v>0</v>
      </c>
      <c r="AC65" s="183">
        <f t="shared" si="14"/>
        <v>0</v>
      </c>
      <c r="AD65" s="188">
        <f t="shared" si="15"/>
        <v>1.1847222222204437</v>
      </c>
      <c r="AE65" s="188">
        <f t="shared" si="16"/>
        <v>1.1847222222204437</v>
      </c>
      <c r="AF65" s="188">
        <f t="shared" si="17"/>
        <v>0</v>
      </c>
      <c r="AG65" s="188">
        <f t="shared" si="18"/>
        <v>0</v>
      </c>
    </row>
    <row r="66" spans="2:33" ht="15" customHeight="1" x14ac:dyDescent="0.15">
      <c r="B66" s="174" t="s">
        <v>19</v>
      </c>
      <c r="C66" s="175" t="s">
        <v>15</v>
      </c>
      <c r="D66" s="176" t="str">
        <f t="shared" si="0"/>
        <v>C</v>
      </c>
      <c r="E66" s="177" t="d">
        <v>2021-12-07T18:30:00.00000020954757600</v>
      </c>
      <c r="F66" s="178" t="s">
        <v>77</v>
      </c>
      <c r="G66" s="179">
        <v>1786.1</v>
      </c>
      <c r="H66" s="179">
        <v>1780.42</v>
      </c>
      <c r="I66" s="180">
        <f t="shared" si="1"/>
        <v>5.6799999999998363</v>
      </c>
      <c r="J66" s="179">
        <v>1813.34</v>
      </c>
      <c r="K66" s="177" t="d">
        <v>2021-12-08T15:21:59.99999990221113300</v>
      </c>
      <c r="L66" s="179">
        <v>1782.01</v>
      </c>
      <c r="M66" s="181">
        <f t="shared" si="2"/>
        <v>-4.09</v>
      </c>
      <c r="N66" s="182">
        <f t="shared" si="3"/>
        <v>-0.72</v>
      </c>
      <c r="O66" s="183">
        <f t="shared" si="4"/>
        <v>0</v>
      </c>
      <c r="P66" s="184">
        <f t="shared" si="5"/>
        <v>0</v>
      </c>
      <c r="Q66" s="184">
        <f t="shared" si="6"/>
        <v>-0.72</v>
      </c>
      <c r="R6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60300</v>
      </c>
      <c r="T6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66" s="186">
        <f ca="1">IF(Tabla33610673[[#This Row],[Equity]]&lt;Tabla33610673[[#This Row],[Equity Peak]],(Tabla33610673[[#This Row],[Equity Peak]]-Tabla33610673[[#This Row],[Equity]])/Tabla33610673[[#This Row],[Equity Peak]],"")</f>
        <v>2.6791478373143964E-2</v>
      </c>
      <c r="V66" s="187">
        <f t="shared" si="7"/>
        <v>0</v>
      </c>
      <c r="W66" s="187">
        <f t="shared" si="8"/>
        <v>0</v>
      </c>
      <c r="X66" s="187">
        <f t="shared" si="9"/>
        <v>-0.72</v>
      </c>
      <c r="Y66" s="187">
        <f t="shared" si="10"/>
        <v>0</v>
      </c>
      <c r="Z66" s="187">
        <f t="shared" si="11"/>
        <v>0</v>
      </c>
      <c r="AA66" s="183">
        <f t="shared" si="12"/>
        <v>0</v>
      </c>
      <c r="AB66" s="187">
        <f t="shared" si="13"/>
        <v>0</v>
      </c>
      <c r="AC66" s="183">
        <f t="shared" si="14"/>
        <v>0</v>
      </c>
      <c r="AD66" s="188">
        <f t="shared" si="15"/>
        <v>0.86944444444088731</v>
      </c>
      <c r="AE66" s="188">
        <f t="shared" si="16"/>
        <v>0</v>
      </c>
      <c r="AF66" s="188">
        <f t="shared" si="17"/>
        <v>0.86944444444088731</v>
      </c>
      <c r="AG66" s="188">
        <f t="shared" si="18"/>
        <v>0</v>
      </c>
    </row>
    <row r="67" spans="2:33" ht="15" customHeight="1" x14ac:dyDescent="0.15">
      <c r="B67" s="174" t="s">
        <v>5</v>
      </c>
      <c r="C67" s="175" t="s">
        <v>15</v>
      </c>
      <c r="D67" s="176" t="str">
        <f t="shared" si="0"/>
        <v>C</v>
      </c>
      <c r="E67" s="177" t="d">
        <v>2021-12-07T10:44:59.99999979045242400</v>
      </c>
      <c r="F67" s="178" t="s">
        <v>80</v>
      </c>
      <c r="G67" s="179">
        <v>15629.66</v>
      </c>
      <c r="H67" s="179">
        <v>15544.17</v>
      </c>
      <c r="I67" s="180">
        <f t="shared" si="1"/>
        <v>85.489999999999782</v>
      </c>
      <c r="J67" s="179">
        <v>16256.59</v>
      </c>
      <c r="K67" s="177" t="d">
        <v>2021-12-08T12:31:59.99999997206032275</v>
      </c>
      <c r="L67" s="179">
        <v>15722.14</v>
      </c>
      <c r="M67" s="181">
        <f t="shared" si="2"/>
        <v>92.48</v>
      </c>
      <c r="N67" s="182">
        <f t="shared" si="3"/>
        <v>1.08</v>
      </c>
      <c r="O67" s="183">
        <f t="shared" si="4"/>
        <v>0</v>
      </c>
      <c r="P67" s="184">
        <f t="shared" si="5"/>
        <v>1.08</v>
      </c>
      <c r="Q67" s="184">
        <f t="shared" si="6"/>
        <v>0</v>
      </c>
      <c r="R6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60480</v>
      </c>
      <c r="T6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67" s="186">
        <f ca="1">IF(Tabla33610673[[#This Row],[Equity]]&lt;Tabla33610673[[#This Row],[Equity Peak]],(Tabla33610673[[#This Row],[Equity Peak]]-Tabla33610673[[#This Row],[Equity]])/Tabla33610673[[#This Row],[Equity Peak]],"")</f>
        <v>2.3886378308586184E-2</v>
      </c>
      <c r="V67" s="187">
        <f t="shared" si="7"/>
        <v>0</v>
      </c>
      <c r="W67" s="187">
        <f t="shared" si="8"/>
        <v>0</v>
      </c>
      <c r="X67" s="187">
        <f t="shared" si="9"/>
        <v>0</v>
      </c>
      <c r="Y67" s="187">
        <f t="shared" si="10"/>
        <v>0</v>
      </c>
      <c r="Z67" s="187">
        <f t="shared" si="11"/>
        <v>1.08</v>
      </c>
      <c r="AA67" s="183">
        <f t="shared" si="12"/>
        <v>0</v>
      </c>
      <c r="AB67" s="187">
        <f t="shared" si="13"/>
        <v>0</v>
      </c>
      <c r="AC67" s="183">
        <f t="shared" si="14"/>
        <v>0</v>
      </c>
      <c r="AD67" s="188">
        <f t="shared" si="15"/>
        <v>1.0743055555576575</v>
      </c>
      <c r="AE67" s="188">
        <f t="shared" si="16"/>
        <v>1.0743055555576575</v>
      </c>
      <c r="AF67" s="188">
        <f t="shared" si="17"/>
        <v>0</v>
      </c>
      <c r="AG67" s="188">
        <f t="shared" si="18"/>
        <v>0</v>
      </c>
    </row>
    <row r="68" spans="2:33" ht="15" customHeight="1" x14ac:dyDescent="0.15">
      <c r="B68" s="174" t="s">
        <v>19</v>
      </c>
      <c r="C68" s="175" t="s">
        <v>13</v>
      </c>
      <c r="D68" s="176" t="str">
        <f t="shared" si="0"/>
        <v>C</v>
      </c>
      <c r="E68" s="177" t="d">
        <v>2021-12-07T15:45:00.000</v>
      </c>
      <c r="F68" s="178" t="s">
        <v>77</v>
      </c>
      <c r="G68" s="179">
        <v>1774.16</v>
      </c>
      <c r="H68" s="179">
        <v>1779.82</v>
      </c>
      <c r="I68" s="180">
        <f t="shared" si="1"/>
        <v>5.6599999999998545</v>
      </c>
      <c r="J68" s="179">
        <v>1747.01</v>
      </c>
      <c r="K68" s="177" t="d">
        <v>2021-12-07T16:15:00.00000020954757600</v>
      </c>
      <c r="L68" s="179">
        <v>1779.82</v>
      </c>
      <c r="M68" s="181">
        <f t="shared" si="2"/>
        <v>-5.66</v>
      </c>
      <c r="N68" s="182">
        <f t="shared" si="3"/>
        <v>-1</v>
      </c>
      <c r="O68" s="183">
        <f t="shared" si="4"/>
        <v>0</v>
      </c>
      <c r="P68" s="184">
        <f t="shared" si="5"/>
        <v>0</v>
      </c>
      <c r="Q68" s="184">
        <f t="shared" si="6"/>
        <v>-1</v>
      </c>
      <c r="R6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60210</v>
      </c>
      <c r="T6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68" s="186">
        <f ca="1">IF(Tabla33610673[[#This Row],[Equity]]&lt;Tabla33610673[[#This Row],[Equity Peak]],(Tabla33610673[[#This Row],[Equity Peak]]-Tabla33610673[[#This Row],[Equity]])/Tabla33610673[[#This Row],[Equity Peak]],"")</f>
        <v>2.8244028405422852E-2</v>
      </c>
      <c r="V68" s="187">
        <f t="shared" si="7"/>
        <v>0</v>
      </c>
      <c r="W68" s="187">
        <f t="shared" si="8"/>
        <v>0</v>
      </c>
      <c r="X68" s="187">
        <f t="shared" si="9"/>
        <v>-1</v>
      </c>
      <c r="Y68" s="187">
        <f t="shared" si="10"/>
        <v>0</v>
      </c>
      <c r="Z68" s="187">
        <f t="shared" si="11"/>
        <v>0</v>
      </c>
      <c r="AA68" s="183">
        <f t="shared" si="12"/>
        <v>0</v>
      </c>
      <c r="AB68" s="187">
        <f t="shared" si="13"/>
        <v>0</v>
      </c>
      <c r="AC68" s="183">
        <f t="shared" si="14"/>
        <v>0</v>
      </c>
      <c r="AD68" s="188">
        <f t="shared" si="15"/>
        <v>2.0833333335758653E-2</v>
      </c>
      <c r="AE68" s="188">
        <f t="shared" si="16"/>
        <v>0</v>
      </c>
      <c r="AF68" s="188">
        <f t="shared" si="17"/>
        <v>2.0833333335758653E-2</v>
      </c>
      <c r="AG68" s="188">
        <f t="shared" si="18"/>
        <v>0</v>
      </c>
    </row>
    <row r="69" spans="2:33" ht="15" customHeight="1" x14ac:dyDescent="0.15">
      <c r="B69" s="174" t="s">
        <v>7</v>
      </c>
      <c r="C69" s="175" t="s">
        <v>15</v>
      </c>
      <c r="D69" s="176" t="str">
        <f t="shared" si="0"/>
        <v>C</v>
      </c>
      <c r="E69" s="177" t="d">
        <v>2021-12-07T06:00:00.000</v>
      </c>
      <c r="F69" s="178" t="s">
        <v>102</v>
      </c>
      <c r="G69" s="179">
        <v>150.863</v>
      </c>
      <c r="H69" s="179">
        <v>150.53</v>
      </c>
      <c r="I69" s="180">
        <f t="shared" si="1"/>
        <v>0.33299999999999841</v>
      </c>
      <c r="J69" s="179">
        <v>152.636</v>
      </c>
      <c r="K69" s="177" t="d">
        <v>2021-12-07T11:01:59.99999997206032275</v>
      </c>
      <c r="L69" s="179">
        <v>150.679</v>
      </c>
      <c r="M69" s="181">
        <f t="shared" si="2"/>
        <v>-0.184</v>
      </c>
      <c r="N69" s="182">
        <f t="shared" si="3"/>
        <v>-0.55000000000000004</v>
      </c>
      <c r="O69" s="183">
        <f t="shared" si="4"/>
        <v>0</v>
      </c>
      <c r="P69" s="184">
        <f t="shared" si="5"/>
        <v>0</v>
      </c>
      <c r="Q69" s="184">
        <f t="shared" si="6"/>
        <v>-0.55000000000000004</v>
      </c>
      <c r="R6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60460</v>
      </c>
      <c r="T6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69" s="186">
        <f ca="1">IF(Tabla33610673[[#This Row],[Equity]]&lt;Tabla33610673[[#This Row],[Equity Peak]],(Tabla33610673[[#This Row],[Equity Peak]]-Tabla33610673[[#This Row],[Equity]])/Tabla33610673[[#This Row],[Equity Peak]],"")</f>
        <v>2.420916720464816E-2</v>
      </c>
      <c r="V69" s="187">
        <f t="shared" si="7"/>
        <v>-0.55000000000000004</v>
      </c>
      <c r="W69" s="187">
        <f t="shared" si="8"/>
        <v>0</v>
      </c>
      <c r="X69" s="187">
        <f t="shared" si="9"/>
        <v>0</v>
      </c>
      <c r="Y69" s="187">
        <f t="shared" si="10"/>
        <v>0</v>
      </c>
      <c r="Z69" s="187">
        <f t="shared" si="11"/>
        <v>0</v>
      </c>
      <c r="AA69" s="183">
        <f t="shared" si="12"/>
        <v>0</v>
      </c>
      <c r="AB69" s="187">
        <f t="shared" si="13"/>
        <v>0</v>
      </c>
      <c r="AC69" s="183">
        <f t="shared" si="14"/>
        <v>0</v>
      </c>
      <c r="AD69" s="188">
        <f t="shared" si="15"/>
        <v>0.20972222222189885</v>
      </c>
      <c r="AE69" s="188">
        <f t="shared" si="16"/>
        <v>0</v>
      </c>
      <c r="AF69" s="188">
        <f t="shared" si="17"/>
        <v>0.20972222222189885</v>
      </c>
      <c r="AG69" s="188">
        <f t="shared" si="18"/>
        <v>0</v>
      </c>
    </row>
    <row r="70" spans="2:33" ht="15" customHeight="1" x14ac:dyDescent="0.15">
      <c r="B70" s="174" t="s">
        <v>19</v>
      </c>
      <c r="C70" s="175" t="s">
        <v>13</v>
      </c>
      <c r="D70" s="176" t="str">
        <f t="shared" si="0"/>
        <v>C</v>
      </c>
      <c r="E70" s="177" t="d">
        <v>2021-12-06T11:45:00.00000020954757600</v>
      </c>
      <c r="F70" s="178" t="s">
        <v>77</v>
      </c>
      <c r="G70" s="179">
        <v>1778.29</v>
      </c>
      <c r="H70" s="179">
        <v>1784.07</v>
      </c>
      <c r="I70" s="180">
        <f t="shared" si="1"/>
        <v>5.7799999999999727</v>
      </c>
      <c r="J70" s="179">
        <v>1750.53</v>
      </c>
      <c r="K70" s="177" t="d">
        <v>2021-12-06T18:53:00.00000030733644975</v>
      </c>
      <c r="L70" s="179">
        <v>1784.07</v>
      </c>
      <c r="M70" s="181">
        <f t="shared" si="2"/>
        <v>-5.78</v>
      </c>
      <c r="N70" s="182">
        <f t="shared" si="3"/>
        <v>-1</v>
      </c>
      <c r="O70" s="183">
        <f t="shared" si="4"/>
        <v>0</v>
      </c>
      <c r="P70" s="184">
        <f t="shared" si="5"/>
        <v>0</v>
      </c>
      <c r="Q70" s="184">
        <f t="shared" si="6"/>
        <v>-1</v>
      </c>
      <c r="R7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60597.5</v>
      </c>
      <c r="T7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70" s="186">
        <f ca="1">IF(Tabla33610673[[#This Row],[Equity]]&lt;Tabla33610673[[#This Row],[Equity Peak]],(Tabla33610673[[#This Row],[Equity Peak]]-Tabla33610673[[#This Row],[Equity]])/Tabla33610673[[#This Row],[Equity Peak]],"")</f>
        <v>2.198999354422208E-2</v>
      </c>
      <c r="V70" s="187">
        <f t="shared" si="7"/>
        <v>0</v>
      </c>
      <c r="W70" s="187">
        <f t="shared" si="8"/>
        <v>0</v>
      </c>
      <c r="X70" s="187">
        <f t="shared" si="9"/>
        <v>-1</v>
      </c>
      <c r="Y70" s="187">
        <f t="shared" si="10"/>
        <v>0</v>
      </c>
      <c r="Z70" s="187">
        <f t="shared" si="11"/>
        <v>0</v>
      </c>
      <c r="AA70" s="183">
        <f t="shared" si="12"/>
        <v>0</v>
      </c>
      <c r="AB70" s="187">
        <f t="shared" si="13"/>
        <v>0</v>
      </c>
      <c r="AC70" s="183">
        <f t="shared" si="14"/>
        <v>0</v>
      </c>
      <c r="AD70" s="188">
        <f t="shared" si="15"/>
        <v>0.29722222222335404</v>
      </c>
      <c r="AE70" s="188">
        <f t="shared" si="16"/>
        <v>0</v>
      </c>
      <c r="AF70" s="188">
        <f t="shared" si="17"/>
        <v>0.29722222222335404</v>
      </c>
      <c r="AG70" s="188">
        <f t="shared" si="18"/>
        <v>0</v>
      </c>
    </row>
    <row r="71" spans="2:33" ht="15" customHeight="1" x14ac:dyDescent="0.15">
      <c r="B71" s="174" t="s">
        <v>5</v>
      </c>
      <c r="C71" s="175" t="s">
        <v>13</v>
      </c>
      <c r="D71" s="176" t="str">
        <f t="shared" si="0"/>
        <v>C</v>
      </c>
      <c r="E71" s="177" t="d">
        <v>2021-12-03T17:45:00.00000020954757600</v>
      </c>
      <c r="F71" s="178" t="s">
        <v>81</v>
      </c>
      <c r="G71" s="179">
        <v>15683.96</v>
      </c>
      <c r="H71" s="179">
        <v>15819.3</v>
      </c>
      <c r="I71" s="180">
        <f t="shared" si="1"/>
        <v>135.34000000000015</v>
      </c>
      <c r="J71" s="179">
        <v>14871.94</v>
      </c>
      <c r="K71" s="177" t="d">
        <v>2021-12-06T10:08:00.000000097788870375</v>
      </c>
      <c r="L71" s="179">
        <v>15775.47</v>
      </c>
      <c r="M71" s="181">
        <f t="shared" si="2"/>
        <v>-91.51</v>
      </c>
      <c r="N71" s="182">
        <f t="shared" si="3"/>
        <v>-0.68</v>
      </c>
      <c r="O71" s="183">
        <f t="shared" si="4"/>
        <v>0</v>
      </c>
      <c r="P71" s="184">
        <f t="shared" si="5"/>
        <v>0</v>
      </c>
      <c r="Q71" s="184">
        <f t="shared" si="6"/>
        <v>-0.68</v>
      </c>
      <c r="R7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60847.5</v>
      </c>
      <c r="T7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71" s="186">
        <f ca="1">IF(Tabla33610673[[#This Row],[Equity]]&lt;Tabla33610673[[#This Row],[Equity Peak]],(Tabla33610673[[#This Row],[Equity Peak]]-Tabla33610673[[#This Row],[Equity]])/Tabla33610673[[#This Row],[Equity Peak]],"")</f>
        <v>1.7955132343447384E-2</v>
      </c>
      <c r="V71" s="187">
        <f t="shared" si="7"/>
        <v>0</v>
      </c>
      <c r="W71" s="187">
        <f t="shared" si="8"/>
        <v>0</v>
      </c>
      <c r="X71" s="187">
        <f t="shared" si="9"/>
        <v>0</v>
      </c>
      <c r="Y71" s="187">
        <f t="shared" si="10"/>
        <v>0</v>
      </c>
      <c r="Z71" s="187">
        <f t="shared" si="11"/>
        <v>-0.68</v>
      </c>
      <c r="AA71" s="183">
        <f t="shared" si="12"/>
        <v>0</v>
      </c>
      <c r="AB71" s="187">
        <f t="shared" si="13"/>
        <v>0</v>
      </c>
      <c r="AC71" s="183">
        <f t="shared" si="14"/>
        <v>0</v>
      </c>
      <c r="AD71" s="188">
        <f t="shared" si="15"/>
        <v>2.6826388888875954</v>
      </c>
      <c r="AE71" s="188">
        <f t="shared" si="16"/>
        <v>0</v>
      </c>
      <c r="AF71" s="188">
        <f t="shared" si="17"/>
        <v>2.6826388888875954</v>
      </c>
      <c r="AG71" s="188">
        <f t="shared" si="18"/>
        <v>0</v>
      </c>
    </row>
    <row r="72" spans="2:33" ht="15" customHeight="1" x14ac:dyDescent="0.15">
      <c r="B72" s="174" t="s">
        <v>7</v>
      </c>
      <c r="C72" s="175" t="s">
        <v>13</v>
      </c>
      <c r="D72" s="176" t="str">
        <f t="shared" si="0"/>
        <v>C</v>
      </c>
      <c r="E72" s="177" t="d">
        <v>2021-12-03T18:59:59.99999979045242400</v>
      </c>
      <c r="F72" s="178" t="s">
        <v>102</v>
      </c>
      <c r="G72" s="179">
        <v>149.35499999999999</v>
      </c>
      <c r="H72" s="179">
        <v>149.77099999999999</v>
      </c>
      <c r="I72" s="180">
        <f t="shared" si="1"/>
        <v>0.41599999999999682</v>
      </c>
      <c r="J72" s="179">
        <v>147.13800000000001</v>
      </c>
      <c r="K72" s="177" t="d">
        <v>2021-12-06T01:02:00.00000018160789875</v>
      </c>
      <c r="L72" s="179">
        <v>149.53200000000001</v>
      </c>
      <c r="M72" s="181">
        <f t="shared" si="2"/>
        <v>-0.17699999999999999</v>
      </c>
      <c r="N72" s="182">
        <f t="shared" si="3"/>
        <v>-0.43</v>
      </c>
      <c r="O72" s="183">
        <f t="shared" si="4"/>
        <v>0</v>
      </c>
      <c r="P72" s="184">
        <f t="shared" si="5"/>
        <v>0</v>
      </c>
      <c r="Q72" s="184">
        <f t="shared" si="6"/>
        <v>-0.43</v>
      </c>
      <c r="R7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61017.5</v>
      </c>
      <c r="T7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72" s="186">
        <f ca="1">IF(Tabla33610673[[#This Row],[Equity]]&lt;Tabla33610673[[#This Row],[Equity Peak]],(Tabla33610673[[#This Row],[Equity Peak]]-Tabla33610673[[#This Row],[Equity]])/Tabla33610673[[#This Row],[Equity Peak]],"")</f>
        <v>1.5211426726920593E-2</v>
      </c>
      <c r="V72" s="187">
        <f t="shared" si="7"/>
        <v>-0.43</v>
      </c>
      <c r="W72" s="187">
        <f t="shared" si="8"/>
        <v>0</v>
      </c>
      <c r="X72" s="187">
        <f t="shared" si="9"/>
        <v>0</v>
      </c>
      <c r="Y72" s="187">
        <f t="shared" si="10"/>
        <v>0</v>
      </c>
      <c r="Z72" s="187">
        <f t="shared" si="11"/>
        <v>0</v>
      </c>
      <c r="AA72" s="183">
        <f t="shared" si="12"/>
        <v>0</v>
      </c>
      <c r="AB72" s="187">
        <f t="shared" si="13"/>
        <v>0</v>
      </c>
      <c r="AC72" s="183">
        <f t="shared" si="14"/>
        <v>0</v>
      </c>
      <c r="AD72" s="188">
        <f t="shared" si="15"/>
        <v>2.2513888888934162</v>
      </c>
      <c r="AE72" s="188">
        <f t="shared" si="16"/>
        <v>0</v>
      </c>
      <c r="AF72" s="188">
        <f t="shared" si="17"/>
        <v>2.2513888888934162</v>
      </c>
      <c r="AG72" s="188">
        <f t="shared" si="18"/>
        <v>0</v>
      </c>
    </row>
    <row r="73" spans="2:33" ht="15" customHeight="1" x14ac:dyDescent="0.15">
      <c r="B73" s="174" t="s">
        <v>5</v>
      </c>
      <c r="C73" s="175" t="s">
        <v>13</v>
      </c>
      <c r="D73" s="176" t="str">
        <f t="shared" si="0"/>
        <v>C</v>
      </c>
      <c r="E73" s="177" t="d">
        <v>2021-12-03T17:15:00.000</v>
      </c>
      <c r="F73" s="178" t="s">
        <v>82</v>
      </c>
      <c r="G73" s="179">
        <v>4543.6899999999996</v>
      </c>
      <c r="H73" s="179">
        <v>4579.2700000000004</v>
      </c>
      <c r="I73" s="180">
        <f t="shared" si="1"/>
        <v>35.580000000000837</v>
      </c>
      <c r="J73" s="179">
        <v>4312.43</v>
      </c>
      <c r="K73" s="177" t="d">
        <v>2021-12-03T22:57:00.00000025145709525</v>
      </c>
      <c r="L73" s="179">
        <v>4537.95</v>
      </c>
      <c r="M73" s="181">
        <f t="shared" si="2"/>
        <v>5.74</v>
      </c>
      <c r="N73" s="182">
        <f t="shared" si="3"/>
        <v>0.16</v>
      </c>
      <c r="O73" s="183">
        <f t="shared" si="4"/>
        <v>0</v>
      </c>
      <c r="P73" s="184">
        <f t="shared" si="5"/>
        <v>0.16</v>
      </c>
      <c r="Q73" s="184">
        <f t="shared" si="6"/>
        <v>0</v>
      </c>
      <c r="R7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61125</v>
      </c>
      <c r="T7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73" s="186">
        <f ca="1">IF(Tabla33610673[[#This Row],[Equity]]&lt;Tabla33610673[[#This Row],[Equity Peak]],(Tabla33610673[[#This Row],[Equity Peak]]-Tabla33610673[[#This Row],[Equity]])/Tabla33610673[[#This Row],[Equity Peak]],"")</f>
        <v>1.3476436410587475E-2</v>
      </c>
      <c r="V73" s="187">
        <f t="shared" si="7"/>
        <v>0</v>
      </c>
      <c r="W73" s="187">
        <f t="shared" si="8"/>
        <v>0</v>
      </c>
      <c r="X73" s="187">
        <f t="shared" si="9"/>
        <v>0</v>
      </c>
      <c r="Y73" s="187">
        <f t="shared" si="10"/>
        <v>0</v>
      </c>
      <c r="Z73" s="187">
        <f t="shared" si="11"/>
        <v>0.16</v>
      </c>
      <c r="AA73" s="183">
        <f t="shared" si="12"/>
        <v>0</v>
      </c>
      <c r="AB73" s="187">
        <f t="shared" si="13"/>
        <v>0</v>
      </c>
      <c r="AC73" s="183">
        <f t="shared" si="14"/>
        <v>0</v>
      </c>
      <c r="AD73" s="188">
        <f t="shared" si="15"/>
        <v>0.23750000000291038</v>
      </c>
      <c r="AE73" s="188">
        <f t="shared" si="16"/>
        <v>0.23750000000291038</v>
      </c>
      <c r="AF73" s="188">
        <f t="shared" si="17"/>
        <v>0</v>
      </c>
      <c r="AG73" s="188">
        <f t="shared" si="18"/>
        <v>0</v>
      </c>
    </row>
    <row r="74" spans="2:33" ht="15" customHeight="1" x14ac:dyDescent="0.15">
      <c r="B74" s="174" t="s">
        <v>19</v>
      </c>
      <c r="C74" s="175" t="s">
        <v>13</v>
      </c>
      <c r="D74" s="176" t="str">
        <f t="shared" si="0"/>
        <v>C</v>
      </c>
      <c r="E74" s="177" t="d">
        <v>2021-12-02T06:30:00.00000020954757600</v>
      </c>
      <c r="F74" s="178" t="s">
        <v>77</v>
      </c>
      <c r="G74" s="179">
        <v>1777.22</v>
      </c>
      <c r="H74" s="179">
        <v>1783.21</v>
      </c>
      <c r="I74" s="180">
        <f t="shared" si="1"/>
        <v>5.9900000000000091</v>
      </c>
      <c r="J74" s="179">
        <v>1748.46</v>
      </c>
      <c r="K74" s="177" t="d">
        <v>2021-12-02T17:35:00.00000013969838625</v>
      </c>
      <c r="L74" s="179">
        <v>1770.78</v>
      </c>
      <c r="M74" s="181">
        <f t="shared" si="2"/>
        <v>6.44</v>
      </c>
      <c r="N74" s="182">
        <f t="shared" si="3"/>
        <v>1.08</v>
      </c>
      <c r="O74" s="183">
        <f t="shared" si="4"/>
        <v>0</v>
      </c>
      <c r="P74" s="184">
        <f t="shared" si="5"/>
        <v>1.08</v>
      </c>
      <c r="Q74" s="184">
        <f t="shared" si="6"/>
        <v>0</v>
      </c>
      <c r="R7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61085</v>
      </c>
      <c r="T7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74" s="186">
        <f ca="1">IF(Tabla33610673[[#This Row],[Equity]]&lt;Tabla33610673[[#This Row],[Equity Peak]],(Tabla33610673[[#This Row],[Equity Peak]]-Tabla33610673[[#This Row],[Equity]])/Tabla33610673[[#This Row],[Equity Peak]],"")</f>
        <v>1.4122014202711426E-2</v>
      </c>
      <c r="V74" s="187">
        <f t="shared" si="7"/>
        <v>0</v>
      </c>
      <c r="W74" s="187">
        <f t="shared" si="8"/>
        <v>0</v>
      </c>
      <c r="X74" s="187">
        <f t="shared" si="9"/>
        <v>1.08</v>
      </c>
      <c r="Y74" s="187">
        <f t="shared" si="10"/>
        <v>0</v>
      </c>
      <c r="Z74" s="187">
        <f t="shared" si="11"/>
        <v>0</v>
      </c>
      <c r="AA74" s="183">
        <f t="shared" si="12"/>
        <v>0</v>
      </c>
      <c r="AB74" s="187">
        <f t="shared" si="13"/>
        <v>0</v>
      </c>
      <c r="AC74" s="183">
        <f t="shared" si="14"/>
        <v>0</v>
      </c>
      <c r="AD74" s="188">
        <f t="shared" si="15"/>
        <v>0.46180555555474712</v>
      </c>
      <c r="AE74" s="188">
        <f t="shared" si="16"/>
        <v>0.46180555555474712</v>
      </c>
      <c r="AF74" s="188">
        <f t="shared" si="17"/>
        <v>0</v>
      </c>
      <c r="AG74" s="188">
        <f t="shared" si="18"/>
        <v>0</v>
      </c>
    </row>
    <row r="75" spans="2:33" ht="15" customHeight="1" x14ac:dyDescent="0.15">
      <c r="B75" s="174" t="s">
        <v>5</v>
      </c>
      <c r="C75" s="175" t="s">
        <v>13</v>
      </c>
      <c r="D75" s="176" t="str">
        <f t="shared" si="0"/>
        <v>C</v>
      </c>
      <c r="E75" s="177" t="d">
        <v>2021-12-01T22:15:00.00000020954757600</v>
      </c>
      <c r="F75" s="178" t="s">
        <v>82</v>
      </c>
      <c r="G75" s="179">
        <v>4567.0600000000004</v>
      </c>
      <c r="H75" s="179">
        <v>4597.21</v>
      </c>
      <c r="I75" s="180">
        <f t="shared" si="1"/>
        <v>30.149999999999636</v>
      </c>
      <c r="J75" s="179">
        <v>4371.08</v>
      </c>
      <c r="K75" s="177" t="d">
        <v>2021-12-02T03:58:00.00000002793967725</v>
      </c>
      <c r="L75" s="179">
        <v>4535.58</v>
      </c>
      <c r="M75" s="181">
        <f t="shared" si="2"/>
        <v>31.48</v>
      </c>
      <c r="N75" s="182">
        <f t="shared" si="3"/>
        <v>1.04</v>
      </c>
      <c r="O75" s="183">
        <f t="shared" si="4"/>
        <v>0</v>
      </c>
      <c r="P75" s="184">
        <f t="shared" si="5"/>
        <v>1.04</v>
      </c>
      <c r="Q75" s="184">
        <f t="shared" si="6"/>
        <v>0</v>
      </c>
      <c r="R7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60815</v>
      </c>
      <c r="T7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75" s="186">
        <f ca="1">IF(Tabla33610673[[#This Row],[Equity]]&lt;Tabla33610673[[#This Row],[Equity Peak]],(Tabla33610673[[#This Row],[Equity Peak]]-Tabla33610673[[#This Row],[Equity]])/Tabla33610673[[#This Row],[Equity Peak]],"")</f>
        <v>1.8479664299548094E-2</v>
      </c>
      <c r="V75" s="187">
        <f t="shared" si="7"/>
        <v>0</v>
      </c>
      <c r="W75" s="187">
        <f t="shared" si="8"/>
        <v>0</v>
      </c>
      <c r="X75" s="187">
        <f t="shared" si="9"/>
        <v>0</v>
      </c>
      <c r="Y75" s="187">
        <f t="shared" si="10"/>
        <v>0</v>
      </c>
      <c r="Z75" s="187">
        <f t="shared" si="11"/>
        <v>1.04</v>
      </c>
      <c r="AA75" s="183">
        <f t="shared" si="12"/>
        <v>0</v>
      </c>
      <c r="AB75" s="187">
        <f t="shared" si="13"/>
        <v>0</v>
      </c>
      <c r="AC75" s="183">
        <f t="shared" si="14"/>
        <v>0</v>
      </c>
      <c r="AD75" s="188">
        <f t="shared" si="15"/>
        <v>0.2381944444423425</v>
      </c>
      <c r="AE75" s="188">
        <f t="shared" si="16"/>
        <v>0.2381944444423425</v>
      </c>
      <c r="AF75" s="188">
        <f t="shared" si="17"/>
        <v>0</v>
      </c>
      <c r="AG75" s="188">
        <f t="shared" si="18"/>
        <v>0</v>
      </c>
    </row>
    <row r="76" spans="2:33" ht="15" customHeight="1" x14ac:dyDescent="0.15">
      <c r="B76" s="174" t="s">
        <v>7</v>
      </c>
      <c r="C76" s="175" t="s">
        <v>13</v>
      </c>
      <c r="D76" s="176" t="str">
        <f t="shared" si="0"/>
        <v>C</v>
      </c>
      <c r="E76" s="177" t="d">
        <v>2021-12-01T22:30:00.000</v>
      </c>
      <c r="F76" s="178" t="s">
        <v>102</v>
      </c>
      <c r="G76" s="179">
        <v>149.661</v>
      </c>
      <c r="H76" s="179">
        <v>150.14400000000001</v>
      </c>
      <c r="I76" s="180">
        <f t="shared" si="1"/>
        <v>0.48300000000000409</v>
      </c>
      <c r="J76" s="179">
        <v>147.083</v>
      </c>
      <c r="K76" s="177" t="d">
        <v>2021-12-02T03:34:59.99999993015081025</v>
      </c>
      <c r="L76" s="179">
        <v>150.14400000000001</v>
      </c>
      <c r="M76" s="181">
        <f t="shared" si="2"/>
        <v>-0.48299999999999998</v>
      </c>
      <c r="N76" s="182">
        <f t="shared" si="3"/>
        <v>-1</v>
      </c>
      <c r="O76" s="183">
        <f t="shared" si="4"/>
        <v>0</v>
      </c>
      <c r="P76" s="184">
        <f t="shared" si="5"/>
        <v>0</v>
      </c>
      <c r="Q76" s="184">
        <f t="shared" si="6"/>
        <v>-1</v>
      </c>
      <c r="R7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60555</v>
      </c>
      <c r="T7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76" s="186">
        <f ca="1">IF(Tabla33610673[[#This Row],[Equity]]&lt;Tabla33610673[[#This Row],[Equity Peak]],(Tabla33610673[[#This Row],[Equity Peak]]-Tabla33610673[[#This Row],[Equity]])/Tabla33610673[[#This Row],[Equity Peak]],"")</f>
        <v>2.2675919948353777E-2</v>
      </c>
      <c r="V76" s="187">
        <f t="shared" si="7"/>
        <v>-1</v>
      </c>
      <c r="W76" s="187">
        <f t="shared" si="8"/>
        <v>0</v>
      </c>
      <c r="X76" s="187">
        <f t="shared" si="9"/>
        <v>0</v>
      </c>
      <c r="Y76" s="187">
        <f t="shared" si="10"/>
        <v>0</v>
      </c>
      <c r="Z76" s="187">
        <f t="shared" si="11"/>
        <v>0</v>
      </c>
      <c r="AA76" s="183">
        <f t="shared" si="12"/>
        <v>0</v>
      </c>
      <c r="AB76" s="187">
        <f t="shared" si="13"/>
        <v>0</v>
      </c>
      <c r="AC76" s="183">
        <f t="shared" si="14"/>
        <v>0</v>
      </c>
      <c r="AD76" s="188">
        <f t="shared" si="15"/>
        <v>0.21180555555474712</v>
      </c>
      <c r="AE76" s="188">
        <f t="shared" si="16"/>
        <v>0</v>
      </c>
      <c r="AF76" s="188">
        <f t="shared" si="17"/>
        <v>0.21180555555474712</v>
      </c>
      <c r="AG76" s="188">
        <f t="shared" si="18"/>
        <v>0</v>
      </c>
    </row>
    <row r="77" spans="2:33" ht="15" customHeight="1" x14ac:dyDescent="0.15">
      <c r="B77" s="174" t="s">
        <v>5</v>
      </c>
      <c r="C77" s="175" t="s">
        <v>13</v>
      </c>
      <c r="D77" s="176" t="str">
        <f t="shared" si="0"/>
        <v>C</v>
      </c>
      <c r="E77" s="177" t="d">
        <v>2021-12-01T22:15:00.00000020954757600</v>
      </c>
      <c r="F77" s="178" t="s">
        <v>81</v>
      </c>
      <c r="G77" s="179">
        <v>16065.56</v>
      </c>
      <c r="H77" s="179">
        <v>16165.64</v>
      </c>
      <c r="I77" s="180">
        <f t="shared" si="1"/>
        <v>100.07999999999993</v>
      </c>
      <c r="J77" s="179">
        <v>15465.06</v>
      </c>
      <c r="K77" s="177" t="d">
        <v>2021-12-02T02:28:00.00000002793967725</v>
      </c>
      <c r="L77" s="179">
        <v>15955.96</v>
      </c>
      <c r="M77" s="181">
        <f t="shared" si="2"/>
        <v>109.6</v>
      </c>
      <c r="N77" s="182">
        <f t="shared" si="3"/>
        <v>1.1000000000000001</v>
      </c>
      <c r="O77" s="183">
        <f t="shared" si="4"/>
        <v>0</v>
      </c>
      <c r="P77" s="184">
        <f t="shared" si="5"/>
        <v>1.1000000000000001</v>
      </c>
      <c r="Q77" s="184">
        <f t="shared" si="6"/>
        <v>0</v>
      </c>
      <c r="R7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60805</v>
      </c>
      <c r="T7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77" s="186">
        <f ca="1">IF(Tabla33610673[[#This Row],[Equity]]&lt;Tabla33610673[[#This Row],[Equity Peak]],(Tabla33610673[[#This Row],[Equity Peak]]-Tabla33610673[[#This Row],[Equity]])/Tabla33610673[[#This Row],[Equity Peak]],"")</f>
        <v>1.8641058747579084E-2</v>
      </c>
      <c r="V77" s="187">
        <f t="shared" si="7"/>
        <v>0</v>
      </c>
      <c r="W77" s="187">
        <f t="shared" si="8"/>
        <v>0</v>
      </c>
      <c r="X77" s="187">
        <f t="shared" si="9"/>
        <v>0</v>
      </c>
      <c r="Y77" s="187">
        <f t="shared" si="10"/>
        <v>0</v>
      </c>
      <c r="Z77" s="187">
        <f t="shared" si="11"/>
        <v>1.1000000000000001</v>
      </c>
      <c r="AA77" s="183">
        <f t="shared" si="12"/>
        <v>0</v>
      </c>
      <c r="AB77" s="187">
        <f t="shared" si="13"/>
        <v>0</v>
      </c>
      <c r="AC77" s="183">
        <f t="shared" si="14"/>
        <v>0</v>
      </c>
      <c r="AD77" s="188">
        <f t="shared" si="15"/>
        <v>0.1756944444423425</v>
      </c>
      <c r="AE77" s="188">
        <f t="shared" si="16"/>
        <v>0.1756944444423425</v>
      </c>
      <c r="AF77" s="188">
        <f t="shared" si="17"/>
        <v>0</v>
      </c>
      <c r="AG77" s="188">
        <f t="shared" si="18"/>
        <v>0</v>
      </c>
    </row>
    <row r="78" spans="2:33" ht="15" customHeight="1" x14ac:dyDescent="0.15">
      <c r="B78" s="174" t="s">
        <v>5</v>
      </c>
      <c r="C78" s="175" t="s">
        <v>13</v>
      </c>
      <c r="D78" s="176" t="str">
        <f t="shared" si="0"/>
        <v>C</v>
      </c>
      <c r="E78" s="177" t="d">
        <v>2021-11-30T18:00:00.000</v>
      </c>
      <c r="F78" s="178" t="s">
        <v>81</v>
      </c>
      <c r="G78" s="179">
        <v>16145.18</v>
      </c>
      <c r="H78" s="179">
        <v>16239.26</v>
      </c>
      <c r="I78" s="180">
        <f t="shared" si="1"/>
        <v>94.079999999999927</v>
      </c>
      <c r="J78" s="179">
        <v>15580.72</v>
      </c>
      <c r="K78" s="177" t="d">
        <v>2021-11-30T23:58:00.00000023748725325</v>
      </c>
      <c r="L78" s="179">
        <v>16237.09</v>
      </c>
      <c r="M78" s="181">
        <f t="shared" si="2"/>
        <v>-91.91</v>
      </c>
      <c r="N78" s="182">
        <f t="shared" si="3"/>
        <v>-0.98</v>
      </c>
      <c r="O78" s="183">
        <f t="shared" si="4"/>
        <v>0</v>
      </c>
      <c r="P78" s="184">
        <f t="shared" si="5"/>
        <v>0</v>
      </c>
      <c r="Q78" s="184">
        <f t="shared" si="6"/>
        <v>-0.98</v>
      </c>
      <c r="R7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60530</v>
      </c>
      <c r="T7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78" s="186">
        <f ca="1">IF(Tabla33610673[[#This Row],[Equity]]&lt;Tabla33610673[[#This Row],[Equity Peak]],(Tabla33610673[[#This Row],[Equity Peak]]-Tabla33610673[[#This Row],[Equity]])/Tabla33610673[[#This Row],[Equity Peak]],"")</f>
        <v>2.3079406068431247E-2</v>
      </c>
      <c r="V78" s="187">
        <f t="shared" si="7"/>
        <v>0</v>
      </c>
      <c r="W78" s="187">
        <f t="shared" si="8"/>
        <v>0</v>
      </c>
      <c r="X78" s="187">
        <f t="shared" si="9"/>
        <v>0</v>
      </c>
      <c r="Y78" s="187">
        <f t="shared" si="10"/>
        <v>0</v>
      </c>
      <c r="Z78" s="187">
        <f t="shared" si="11"/>
        <v>-0.98</v>
      </c>
      <c r="AA78" s="183">
        <f t="shared" si="12"/>
        <v>0</v>
      </c>
      <c r="AB78" s="187">
        <f t="shared" si="13"/>
        <v>0</v>
      </c>
      <c r="AC78" s="183">
        <f t="shared" si="14"/>
        <v>0</v>
      </c>
      <c r="AD78" s="188">
        <f t="shared" si="15"/>
        <v>0.24861111111385981</v>
      </c>
      <c r="AE78" s="188">
        <f t="shared" si="16"/>
        <v>0</v>
      </c>
      <c r="AF78" s="188">
        <f t="shared" si="17"/>
        <v>0.24861111111385981</v>
      </c>
      <c r="AG78" s="188">
        <f t="shared" si="18"/>
        <v>0</v>
      </c>
    </row>
    <row r="79" spans="2:33" ht="15" customHeight="1" x14ac:dyDescent="0.15">
      <c r="B79" s="174" t="s">
        <v>7</v>
      </c>
      <c r="C79" s="175" t="s">
        <v>13</v>
      </c>
      <c r="D79" s="176" t="str">
        <f t="shared" si="0"/>
        <v>C</v>
      </c>
      <c r="E79" s="177" t="d">
        <v>2021-11-30T08:00:00.00000020954757600</v>
      </c>
      <c r="F79" s="178" t="s">
        <v>102</v>
      </c>
      <c r="G79" s="179">
        <v>150.601</v>
      </c>
      <c r="H79" s="179">
        <v>151.05000000000001</v>
      </c>
      <c r="I79" s="180">
        <f t="shared" si="1"/>
        <v>0.44900000000001228</v>
      </c>
      <c r="J79" s="179">
        <v>148.20500000000001</v>
      </c>
      <c r="K79" s="177" t="d">
        <v>2021-11-30T23:38:00.000000097788870375</v>
      </c>
      <c r="L79" s="179">
        <v>150.489</v>
      </c>
      <c r="M79" s="181">
        <f t="shared" si="2"/>
        <v>0.112</v>
      </c>
      <c r="N79" s="182">
        <f t="shared" si="3"/>
        <v>0.25</v>
      </c>
      <c r="O79" s="183">
        <f t="shared" si="4"/>
        <v>0</v>
      </c>
      <c r="P79" s="184">
        <f t="shared" si="5"/>
        <v>0.25</v>
      </c>
      <c r="Q79" s="184">
        <f t="shared" si="6"/>
        <v>0</v>
      </c>
      <c r="R7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60775</v>
      </c>
      <c r="T7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79" s="186">
        <f ca="1">IF(Tabla33610673[[#This Row],[Equity]]&lt;Tabla33610673[[#This Row],[Equity Peak]],(Tabla33610673[[#This Row],[Equity Peak]]-Tabla33610673[[#This Row],[Equity]])/Tabla33610673[[#This Row],[Equity Peak]],"")</f>
        <v>1.9125242091672046E-2</v>
      </c>
      <c r="V79" s="187">
        <f t="shared" si="7"/>
        <v>0.25</v>
      </c>
      <c r="W79" s="187">
        <f t="shared" si="8"/>
        <v>0</v>
      </c>
      <c r="X79" s="187">
        <f t="shared" si="9"/>
        <v>0</v>
      </c>
      <c r="Y79" s="187">
        <f t="shared" si="10"/>
        <v>0</v>
      </c>
      <c r="Z79" s="187">
        <f t="shared" si="11"/>
        <v>0</v>
      </c>
      <c r="AA79" s="183">
        <f t="shared" si="12"/>
        <v>0</v>
      </c>
      <c r="AB79" s="187">
        <f t="shared" si="13"/>
        <v>0</v>
      </c>
      <c r="AC79" s="183">
        <f t="shared" si="14"/>
        <v>0</v>
      </c>
      <c r="AD79" s="188">
        <f t="shared" si="15"/>
        <v>0.65138888888759539</v>
      </c>
      <c r="AE79" s="188">
        <f t="shared" si="16"/>
        <v>0.65138888888759539</v>
      </c>
      <c r="AF79" s="188">
        <f t="shared" si="17"/>
        <v>0</v>
      </c>
      <c r="AG79" s="188">
        <f t="shared" si="18"/>
        <v>0</v>
      </c>
    </row>
    <row r="80" spans="2:33" ht="15" customHeight="1" x14ac:dyDescent="0.15">
      <c r="B80" s="174" t="s">
        <v>19</v>
      </c>
      <c r="C80" s="175" t="s">
        <v>13</v>
      </c>
      <c r="D80" s="176" t="str">
        <f t="shared" si="0"/>
        <v>C</v>
      </c>
      <c r="E80" s="177" t="d">
        <v>2021-11-30T18:00:00.000</v>
      </c>
      <c r="F80" s="178" t="s">
        <v>77</v>
      </c>
      <c r="G80" s="179">
        <v>1784.62</v>
      </c>
      <c r="H80" s="179">
        <v>1790.43</v>
      </c>
      <c r="I80" s="180">
        <f t="shared" si="1"/>
        <v>5.8100000000001728</v>
      </c>
      <c r="J80" s="179">
        <v>1756.72</v>
      </c>
      <c r="K80" s="177" t="d">
        <v>2021-11-30T21:02:59.9999999580904875</v>
      </c>
      <c r="L80" s="179">
        <v>1777.64</v>
      </c>
      <c r="M80" s="181">
        <f t="shared" si="2"/>
        <v>6.98</v>
      </c>
      <c r="N80" s="182">
        <f t="shared" si="3"/>
        <v>1.2</v>
      </c>
      <c r="O80" s="183">
        <f t="shared" si="4"/>
        <v>0</v>
      </c>
      <c r="P80" s="184">
        <f t="shared" si="5"/>
        <v>1.2</v>
      </c>
      <c r="Q80" s="184">
        <f t="shared" si="6"/>
        <v>0</v>
      </c>
      <c r="R8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60712.5</v>
      </c>
      <c r="T8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80" s="186">
        <f ca="1">IF(Tabla33610673[[#This Row],[Equity]]&lt;Tabla33610673[[#This Row],[Equity Peak]],(Tabla33610673[[#This Row],[Equity Peak]]-Tabla33610673[[#This Row],[Equity]])/Tabla33610673[[#This Row],[Equity Peak]],"")</f>
        <v>2.0133957391865721E-2</v>
      </c>
      <c r="V80" s="187">
        <f t="shared" si="7"/>
        <v>0</v>
      </c>
      <c r="W80" s="187">
        <f t="shared" si="8"/>
        <v>0</v>
      </c>
      <c r="X80" s="187">
        <f t="shared" si="9"/>
        <v>1.2</v>
      </c>
      <c r="Y80" s="187">
        <f t="shared" si="10"/>
        <v>0</v>
      </c>
      <c r="Z80" s="187">
        <f t="shared" si="11"/>
        <v>0</v>
      </c>
      <c r="AA80" s="183">
        <f t="shared" si="12"/>
        <v>0</v>
      </c>
      <c r="AB80" s="187">
        <f t="shared" si="13"/>
        <v>0</v>
      </c>
      <c r="AC80" s="183">
        <f t="shared" si="14"/>
        <v>0</v>
      </c>
      <c r="AD80" s="188">
        <f t="shared" si="15"/>
        <v>0.12708333333284827</v>
      </c>
      <c r="AE80" s="188">
        <f t="shared" si="16"/>
        <v>0.12708333333284827</v>
      </c>
      <c r="AF80" s="188">
        <f t="shared" si="17"/>
        <v>0</v>
      </c>
      <c r="AG80" s="188">
        <f t="shared" si="18"/>
        <v>0</v>
      </c>
    </row>
    <row r="81" spans="2:33" ht="15" customHeight="1" x14ac:dyDescent="0.15">
      <c r="B81" s="174" t="s">
        <v>7</v>
      </c>
      <c r="C81" s="175" t="s">
        <v>13</v>
      </c>
      <c r="D81" s="176" t="str">
        <f t="shared" ref="D81:D144" si="19">IF(E81&lt;&gt;"",IF(K81&lt;&gt;"","C","O"),"")</f>
        <v>C</v>
      </c>
      <c r="E81" s="177" t="d">
        <v>2021-11-30T10:44:59.99999979045242400</v>
      </c>
      <c r="F81" s="178" t="s">
        <v>103</v>
      </c>
      <c r="G81" s="179">
        <v>112.934</v>
      </c>
      <c r="H81" s="179">
        <v>113.241</v>
      </c>
      <c r="I81" s="180">
        <f t="shared" ref="I81:I144" si="20">ABS(G81-H81)</f>
        <v>0.30700000000000216</v>
      </c>
      <c r="J81" s="179">
        <v>111.005</v>
      </c>
      <c r="K81" s="177" t="d">
        <v>2021-11-30T17:35:00.00000013969838625</v>
      </c>
      <c r="L81" s="179">
        <v>113.029</v>
      </c>
      <c r="M81" s="181">
        <f t="shared" ref="M81:M144" si="21">ROUND(IF(C81="L",(L81-G81),(G81-L81)),4)</f>
        <v>-9.5000000000000001E-2</v>
      </c>
      <c r="N81" s="182">
        <f t="shared" ref="N81:N144" si="22">IFERROR(ROUND((M81/I81),2),"")</f>
        <v>-0.31</v>
      </c>
      <c r="O81" s="183">
        <f t="shared" ref="O81:O144" si="23">IF(D81="O",IF(N81&lt;0,N81,0),0)</f>
        <v>0</v>
      </c>
      <c r="P81" s="184">
        <f t="shared" ref="P81:P144" si="24">IF(N81&gt;= 0,N81,0)</f>
        <v>0</v>
      </c>
      <c r="Q81" s="184">
        <f t="shared" ref="Q81:Q144" si="25">IF(N81&lt;0,N81,0)</f>
        <v>-0.31</v>
      </c>
      <c r="R8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60412.5</v>
      </c>
      <c r="T8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81" s="186">
        <f ca="1">IF(Tabla33610673[[#This Row],[Equity]]&lt;Tabla33610673[[#This Row],[Equity Peak]],(Tabla33610673[[#This Row],[Equity Peak]]-Tabla33610673[[#This Row],[Equity]])/Tabla33610673[[#This Row],[Equity Peak]],"")</f>
        <v>2.4975790832795351E-2</v>
      </c>
      <c r="V81" s="187">
        <f t="shared" ref="V81:V144" si="26">IF(B81="FX",N81,0)</f>
        <v>-0.31</v>
      </c>
      <c r="W81" s="187">
        <f t="shared" ref="W81:W144" si="27">IF(D81="O",IF(V81&lt;0,V81,0),0)</f>
        <v>0</v>
      </c>
      <c r="X81" s="187">
        <f t="shared" ref="X81:X144" si="28">IF(B81="COM",N81,0)</f>
        <v>0</v>
      </c>
      <c r="Y81" s="187">
        <f t="shared" ref="Y81:Y144" si="29">IF(D81="O",IF(X81&lt;0,X81,0),0)</f>
        <v>0</v>
      </c>
      <c r="Z81" s="187">
        <f t="shared" ref="Z81:Z144" si="30">IF(B81="IND",N81,0)</f>
        <v>0</v>
      </c>
      <c r="AA81" s="183">
        <f t="shared" ref="AA81:AA144" si="31">IF(D81="O",IF(Z81&lt;0,Z81,0),0)</f>
        <v>0</v>
      </c>
      <c r="AB81" s="187">
        <f t="shared" ref="AB81:AB144" si="32">IF(B81="CRYPTO",N81,0)</f>
        <v>0</v>
      </c>
      <c r="AC81" s="183">
        <f t="shared" ref="AC81:AC144" si="33">IF(D81="O",IF(AB81&lt;0,AB81,0),0)</f>
        <v>0</v>
      </c>
      <c r="AD81" s="188">
        <f t="shared" ref="AD81:AD144" si="34">IF(K81&lt;&gt;"",K81-E81,0)</f>
        <v>0.28472222222626442</v>
      </c>
      <c r="AE81" s="188">
        <f t="shared" ref="AE81:AE144" si="35">IF(N81&gt;0,AD81,0)</f>
        <v>0</v>
      </c>
      <c r="AF81" s="188">
        <f t="shared" ref="AF81:AF144" si="36">IF(N81&lt;0,AD81,0)</f>
        <v>0.28472222222626442</v>
      </c>
      <c r="AG81" s="188">
        <f t="shared" ref="AG81:AG144" si="37">IF(N81=0,AD81,0)</f>
        <v>0</v>
      </c>
    </row>
    <row r="82" spans="2:33" ht="15" customHeight="1" x14ac:dyDescent="0.15">
      <c r="B82" s="174" t="s">
        <v>19</v>
      </c>
      <c r="C82" s="175" t="s">
        <v>15</v>
      </c>
      <c r="D82" s="176" t="str">
        <f t="shared" si="19"/>
        <v>C</v>
      </c>
      <c r="E82" s="177" t="d">
        <v>2021-11-30T17:15:00.000</v>
      </c>
      <c r="F82" s="178" t="s">
        <v>77</v>
      </c>
      <c r="G82" s="179">
        <v>1808.03</v>
      </c>
      <c r="H82" s="179">
        <v>1802.35</v>
      </c>
      <c r="I82" s="180">
        <f t="shared" si="20"/>
        <v>5.6800000000000637</v>
      </c>
      <c r="J82" s="179">
        <v>1835.29</v>
      </c>
      <c r="K82" s="177" t="d">
        <v>2021-11-30T17:29:00.00000022351741800</v>
      </c>
      <c r="L82" s="179">
        <v>1802.35</v>
      </c>
      <c r="M82" s="181">
        <f t="shared" si="21"/>
        <v>-5.68</v>
      </c>
      <c r="N82" s="182">
        <f t="shared" si="22"/>
        <v>-1</v>
      </c>
      <c r="O82" s="183">
        <f t="shared" si="23"/>
        <v>0</v>
      </c>
      <c r="P82" s="184">
        <f t="shared" si="24"/>
        <v>0</v>
      </c>
      <c r="Q82" s="184">
        <f t="shared" si="25"/>
        <v>-1</v>
      </c>
      <c r="R8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60490</v>
      </c>
      <c r="T8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82" s="186">
        <f ca="1">IF(Tabla33610673[[#This Row],[Equity]]&lt;Tabla33610673[[#This Row],[Equity Peak]],(Tabla33610673[[#This Row],[Equity Peak]]-Tabla33610673[[#This Row],[Equity]])/Tabla33610673[[#This Row],[Equity Peak]],"")</f>
        <v>2.3724983860555198E-2</v>
      </c>
      <c r="V82" s="187">
        <f t="shared" si="26"/>
        <v>0</v>
      </c>
      <c r="W82" s="187">
        <f t="shared" si="27"/>
        <v>0</v>
      </c>
      <c r="X82" s="187">
        <f t="shared" si="28"/>
        <v>-1</v>
      </c>
      <c r="Y82" s="187">
        <f t="shared" si="29"/>
        <v>0</v>
      </c>
      <c r="Z82" s="187">
        <f t="shared" si="30"/>
        <v>0</v>
      </c>
      <c r="AA82" s="183">
        <f t="shared" si="31"/>
        <v>0</v>
      </c>
      <c r="AB82" s="187">
        <f t="shared" si="32"/>
        <v>0</v>
      </c>
      <c r="AC82" s="183">
        <f t="shared" si="33"/>
        <v>0</v>
      </c>
      <c r="AD82" s="188">
        <f t="shared" si="34"/>
        <v>9.7222222248092294E-3</v>
      </c>
      <c r="AE82" s="188">
        <f t="shared" si="35"/>
        <v>0</v>
      </c>
      <c r="AF82" s="188">
        <f t="shared" si="36"/>
        <v>9.7222222248092294E-3</v>
      </c>
      <c r="AG82" s="188">
        <f t="shared" si="37"/>
        <v>0</v>
      </c>
    </row>
    <row r="83" spans="2:33" ht="15" customHeight="1" x14ac:dyDescent="0.15">
      <c r="B83" s="174" t="s">
        <v>5</v>
      </c>
      <c r="C83" s="175" t="s">
        <v>13</v>
      </c>
      <c r="D83" s="176" t="str">
        <f t="shared" si="19"/>
        <v>C</v>
      </c>
      <c r="E83" s="177" t="d">
        <v>2021-11-30T07:44:59.99999979045242400</v>
      </c>
      <c r="F83" s="178" t="s">
        <v>82</v>
      </c>
      <c r="G83" s="179">
        <v>4617.78</v>
      </c>
      <c r="H83" s="179">
        <v>4642.74</v>
      </c>
      <c r="I83" s="180">
        <f t="shared" si="20"/>
        <v>24.960000000000036</v>
      </c>
      <c r="J83" s="179">
        <v>4455.51</v>
      </c>
      <c r="K83" s="177" t="d">
        <v>2021-11-30T14:28:00.00000002793967725</v>
      </c>
      <c r="L83" s="179">
        <v>4620.38</v>
      </c>
      <c r="M83" s="181">
        <f t="shared" si="21"/>
        <v>-2.6</v>
      </c>
      <c r="N83" s="182">
        <f t="shared" si="22"/>
        <v>-0.1</v>
      </c>
      <c r="O83" s="183">
        <f t="shared" si="23"/>
        <v>0</v>
      </c>
      <c r="P83" s="184">
        <f t="shared" si="24"/>
        <v>0</v>
      </c>
      <c r="Q83" s="184">
        <f t="shared" si="25"/>
        <v>-0.1</v>
      </c>
      <c r="R8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60740</v>
      </c>
      <c r="T8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83" s="186">
        <f ca="1">IF(Tabla33610673[[#This Row],[Equity]]&lt;Tabla33610673[[#This Row],[Equity Peak]],(Tabla33610673[[#This Row],[Equity Peak]]-Tabla33610673[[#This Row],[Equity]])/Tabla33610673[[#This Row],[Equity Peak]],"")</f>
        <v>1.9690122659780502E-2</v>
      </c>
      <c r="V83" s="187">
        <f t="shared" si="26"/>
        <v>0</v>
      </c>
      <c r="W83" s="187">
        <f t="shared" si="27"/>
        <v>0</v>
      </c>
      <c r="X83" s="187">
        <f t="shared" si="28"/>
        <v>0</v>
      </c>
      <c r="Y83" s="187">
        <f t="shared" si="29"/>
        <v>0</v>
      </c>
      <c r="Z83" s="187">
        <f t="shared" si="30"/>
        <v>-0.1</v>
      </c>
      <c r="AA83" s="183">
        <f t="shared" si="31"/>
        <v>0</v>
      </c>
      <c r="AB83" s="187">
        <f t="shared" si="32"/>
        <v>0</v>
      </c>
      <c r="AC83" s="183">
        <f t="shared" si="33"/>
        <v>0</v>
      </c>
      <c r="AD83" s="188">
        <f t="shared" si="34"/>
        <v>0.27986111111385981</v>
      </c>
      <c r="AE83" s="188">
        <f t="shared" si="35"/>
        <v>0</v>
      </c>
      <c r="AF83" s="188">
        <f t="shared" si="36"/>
        <v>0.27986111111385981</v>
      </c>
      <c r="AG83" s="188">
        <f t="shared" si="37"/>
        <v>0</v>
      </c>
    </row>
    <row r="84" spans="2:33" ht="15" customHeight="1" x14ac:dyDescent="0.15">
      <c r="B84" s="174" t="s">
        <v>19</v>
      </c>
      <c r="C84" s="175" t="s">
        <v>13</v>
      </c>
      <c r="D84" s="176" t="str">
        <f t="shared" si="19"/>
        <v>C</v>
      </c>
      <c r="E84" s="177" t="d">
        <v>2021-11-29T15:45:00.000</v>
      </c>
      <c r="F84" s="178" t="s">
        <v>77</v>
      </c>
      <c r="G84" s="179">
        <v>1789.5</v>
      </c>
      <c r="H84" s="179">
        <v>1795.43</v>
      </c>
      <c r="I84" s="180">
        <f t="shared" si="20"/>
        <v>5.9300000000000637</v>
      </c>
      <c r="J84" s="179">
        <v>1761.06</v>
      </c>
      <c r="K84" s="177" t="d">
        <v>2021-11-30T07:44:59.99999979045242400</v>
      </c>
      <c r="L84" s="179">
        <v>1794.1</v>
      </c>
      <c r="M84" s="181">
        <f t="shared" si="21"/>
        <v>-4.5999999999999996</v>
      </c>
      <c r="N84" s="182">
        <f t="shared" si="22"/>
        <v>-0.78</v>
      </c>
      <c r="O84" s="183">
        <f t="shared" si="23"/>
        <v>0</v>
      </c>
      <c r="P84" s="184">
        <f t="shared" si="24"/>
        <v>0</v>
      </c>
      <c r="Q84" s="184">
        <f t="shared" si="25"/>
        <v>-0.78</v>
      </c>
      <c r="R8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60765</v>
      </c>
      <c r="T8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84" s="186">
        <f ca="1">IF(Tabla33610673[[#This Row],[Equity]]&lt;Tabla33610673[[#This Row],[Equity Peak]],(Tabla33610673[[#This Row],[Equity Peak]]-Tabla33610673[[#This Row],[Equity]])/Tabla33610673[[#This Row],[Equity Peak]],"")</f>
        <v>1.9286636539703035E-2</v>
      </c>
      <c r="V84" s="187">
        <f t="shared" si="26"/>
        <v>0</v>
      </c>
      <c r="W84" s="187">
        <f t="shared" si="27"/>
        <v>0</v>
      </c>
      <c r="X84" s="187">
        <f t="shared" si="28"/>
        <v>-0.78</v>
      </c>
      <c r="Y84" s="187">
        <f t="shared" si="29"/>
        <v>0</v>
      </c>
      <c r="Z84" s="187">
        <f t="shared" si="30"/>
        <v>0</v>
      </c>
      <c r="AA84" s="183">
        <f t="shared" si="31"/>
        <v>0</v>
      </c>
      <c r="AB84" s="187">
        <f t="shared" si="32"/>
        <v>0</v>
      </c>
      <c r="AC84" s="183">
        <f t="shared" si="33"/>
        <v>0</v>
      </c>
      <c r="AD84" s="188">
        <f t="shared" si="34"/>
        <v>0.66666666666424135</v>
      </c>
      <c r="AE84" s="188">
        <f t="shared" si="35"/>
        <v>0</v>
      </c>
      <c r="AF84" s="188">
        <f t="shared" si="36"/>
        <v>0.66666666666424135</v>
      </c>
      <c r="AG84" s="188">
        <f t="shared" si="37"/>
        <v>0</v>
      </c>
    </row>
    <row r="85" spans="2:33" ht="15" customHeight="1" x14ac:dyDescent="0.15">
      <c r="B85" s="174" t="s">
        <v>5</v>
      </c>
      <c r="C85" s="175" t="s">
        <v>15</v>
      </c>
      <c r="D85" s="176" t="str">
        <f t="shared" si="19"/>
        <v>C</v>
      </c>
      <c r="E85" s="177" t="d">
        <v>2021-11-29T22:15:00.00000020954757600</v>
      </c>
      <c r="F85" s="178" t="s">
        <v>81</v>
      </c>
      <c r="G85" s="179">
        <v>16429.099999999999</v>
      </c>
      <c r="H85" s="179">
        <v>16342.95</v>
      </c>
      <c r="I85" s="180">
        <f t="shared" si="20"/>
        <v>86.149999999997817</v>
      </c>
      <c r="J85" s="179">
        <v>16946</v>
      </c>
      <c r="K85" s="177" t="d">
        <v>2021-11-30T07:18:00.00000016763806350</v>
      </c>
      <c r="L85" s="179">
        <v>16342.95</v>
      </c>
      <c r="M85" s="181">
        <f t="shared" si="21"/>
        <v>-86.15</v>
      </c>
      <c r="N85" s="182">
        <f t="shared" si="22"/>
        <v>-1</v>
      </c>
      <c r="O85" s="183">
        <f t="shared" si="23"/>
        <v>0</v>
      </c>
      <c r="P85" s="184">
        <f t="shared" si="24"/>
        <v>0</v>
      </c>
      <c r="Q85" s="184">
        <f t="shared" si="25"/>
        <v>-1</v>
      </c>
      <c r="R8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60960</v>
      </c>
      <c r="T8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85" s="186">
        <f ca="1">IF(Tabla33610673[[#This Row],[Equity]]&lt;Tabla33610673[[#This Row],[Equity Peak]],(Tabla33610673[[#This Row],[Equity Peak]]-Tabla33610673[[#This Row],[Equity]])/Tabla33610673[[#This Row],[Equity Peak]],"")</f>
        <v>1.6139444803098774E-2</v>
      </c>
      <c r="V85" s="187">
        <f t="shared" si="26"/>
        <v>0</v>
      </c>
      <c r="W85" s="187">
        <f t="shared" si="27"/>
        <v>0</v>
      </c>
      <c r="X85" s="187">
        <f t="shared" si="28"/>
        <v>0</v>
      </c>
      <c r="Y85" s="187">
        <f t="shared" si="29"/>
        <v>0</v>
      </c>
      <c r="Z85" s="187">
        <f t="shared" si="30"/>
        <v>-1</v>
      </c>
      <c r="AA85" s="183">
        <f t="shared" si="31"/>
        <v>0</v>
      </c>
      <c r="AB85" s="187">
        <f t="shared" si="32"/>
        <v>0</v>
      </c>
      <c r="AC85" s="183">
        <f t="shared" si="33"/>
        <v>0</v>
      </c>
      <c r="AD85" s="188">
        <f t="shared" si="34"/>
        <v>0.37708333333284827</v>
      </c>
      <c r="AE85" s="188">
        <f t="shared" si="35"/>
        <v>0</v>
      </c>
      <c r="AF85" s="188">
        <f t="shared" si="36"/>
        <v>0.37708333333284827</v>
      </c>
      <c r="AG85" s="188">
        <f t="shared" si="37"/>
        <v>0</v>
      </c>
    </row>
    <row r="86" spans="2:33" ht="15" customHeight="1" x14ac:dyDescent="0.15">
      <c r="B86" s="174" t="s">
        <v>5</v>
      </c>
      <c r="C86" s="175" t="s">
        <v>13</v>
      </c>
      <c r="D86" s="176" t="str">
        <f t="shared" si="19"/>
        <v>C</v>
      </c>
      <c r="E86" s="177" t="d">
        <v>2021-11-26T18:14:59.99999979045242400</v>
      </c>
      <c r="F86" s="178" t="s">
        <v>81</v>
      </c>
      <c r="G86" s="179">
        <v>16067.66</v>
      </c>
      <c r="H86" s="179">
        <v>16142.84</v>
      </c>
      <c r="I86" s="180">
        <f t="shared" si="20"/>
        <v>75.180000000000291</v>
      </c>
      <c r="J86" s="179">
        <v>15616.56</v>
      </c>
      <c r="K86" s="177" t="d">
        <v>2021-11-29T01:02:00.00000018160789875</v>
      </c>
      <c r="L86" s="179">
        <v>16142.84</v>
      </c>
      <c r="M86" s="181">
        <f t="shared" si="21"/>
        <v>-75.180000000000007</v>
      </c>
      <c r="N86" s="182">
        <f t="shared" si="22"/>
        <v>-1</v>
      </c>
      <c r="O86" s="183">
        <f t="shared" si="23"/>
        <v>0</v>
      </c>
      <c r="P86" s="184">
        <f t="shared" si="24"/>
        <v>0</v>
      </c>
      <c r="Q86" s="184">
        <f t="shared" si="25"/>
        <v>-1</v>
      </c>
      <c r="R8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61210</v>
      </c>
      <c r="T8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86" s="186">
        <f ca="1">IF(Tabla33610673[[#This Row],[Equity]]&lt;Tabla33610673[[#This Row],[Equity Peak]],(Tabla33610673[[#This Row],[Equity Peak]]-Tabla33610673[[#This Row],[Equity]])/Tabla33610673[[#This Row],[Equity Peak]],"")</f>
        <v>1.210458360232408E-2</v>
      </c>
      <c r="V86" s="187">
        <f t="shared" si="26"/>
        <v>0</v>
      </c>
      <c r="W86" s="187">
        <f t="shared" si="27"/>
        <v>0</v>
      </c>
      <c r="X86" s="187">
        <f t="shared" si="28"/>
        <v>0</v>
      </c>
      <c r="Y86" s="187">
        <f t="shared" si="29"/>
        <v>0</v>
      </c>
      <c r="Z86" s="187">
        <f t="shared" si="30"/>
        <v>-1</v>
      </c>
      <c r="AA86" s="183">
        <f t="shared" si="31"/>
        <v>0</v>
      </c>
      <c r="AB86" s="187">
        <f t="shared" si="32"/>
        <v>0</v>
      </c>
      <c r="AC86" s="183">
        <f t="shared" si="33"/>
        <v>0</v>
      </c>
      <c r="AD86" s="188">
        <f t="shared" si="34"/>
        <v>2.2826388888934162</v>
      </c>
      <c r="AE86" s="188">
        <f t="shared" si="35"/>
        <v>0</v>
      </c>
      <c r="AF86" s="188">
        <f t="shared" si="36"/>
        <v>2.2826388888934162</v>
      </c>
      <c r="AG86" s="188">
        <f t="shared" si="37"/>
        <v>0</v>
      </c>
    </row>
    <row r="87" spans="2:33" ht="15" customHeight="1" x14ac:dyDescent="0.15">
      <c r="B87" s="174" t="s">
        <v>19</v>
      </c>
      <c r="C87" s="175" t="s">
        <v>13</v>
      </c>
      <c r="D87" s="176" t="str">
        <f t="shared" si="19"/>
        <v>C</v>
      </c>
      <c r="E87" s="177" t="d">
        <v>2021-11-26T18:45:00.000</v>
      </c>
      <c r="F87" s="178" t="s">
        <v>77</v>
      </c>
      <c r="G87" s="179">
        <v>1785.58</v>
      </c>
      <c r="H87" s="179">
        <v>1791.58</v>
      </c>
      <c r="I87" s="180">
        <f t="shared" si="20"/>
        <v>6</v>
      </c>
      <c r="J87" s="179">
        <v>1756.76</v>
      </c>
      <c r="K87" s="177" t="d">
        <v>2021-11-26T20:41:00.00000005587935450</v>
      </c>
      <c r="L87" s="179">
        <v>1791.58</v>
      </c>
      <c r="M87" s="181">
        <f t="shared" si="21"/>
        <v>-6</v>
      </c>
      <c r="N87" s="182">
        <f t="shared" si="22"/>
        <v>-1</v>
      </c>
      <c r="O87" s="183">
        <f t="shared" si="23"/>
        <v>0</v>
      </c>
      <c r="P87" s="184">
        <f t="shared" si="24"/>
        <v>0</v>
      </c>
      <c r="Q87" s="184">
        <f t="shared" si="25"/>
        <v>-1</v>
      </c>
      <c r="R8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61460</v>
      </c>
      <c r="T8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87" s="186">
        <f ca="1">IF(Tabla33610673[[#This Row],[Equity]]&lt;Tabla33610673[[#This Row],[Equity Peak]],(Tabla33610673[[#This Row],[Equity Peak]]-Tabla33610673[[#This Row],[Equity]])/Tabla33610673[[#This Row],[Equity Peak]],"")</f>
        <v>8.0697224015493872E-3</v>
      </c>
      <c r="V87" s="187">
        <f t="shared" si="26"/>
        <v>0</v>
      </c>
      <c r="W87" s="187">
        <f t="shared" si="27"/>
        <v>0</v>
      </c>
      <c r="X87" s="187">
        <f t="shared" si="28"/>
        <v>-1</v>
      </c>
      <c r="Y87" s="187">
        <f t="shared" si="29"/>
        <v>0</v>
      </c>
      <c r="Z87" s="187">
        <f t="shared" si="30"/>
        <v>0</v>
      </c>
      <c r="AA87" s="183">
        <f t="shared" si="31"/>
        <v>0</v>
      </c>
      <c r="AB87" s="187">
        <f t="shared" si="32"/>
        <v>0</v>
      </c>
      <c r="AC87" s="183">
        <f t="shared" si="33"/>
        <v>0</v>
      </c>
      <c r="AD87" s="188">
        <f t="shared" si="34"/>
        <v>8.0555555556202307E-2</v>
      </c>
      <c r="AE87" s="188">
        <f t="shared" si="35"/>
        <v>0</v>
      </c>
      <c r="AF87" s="188">
        <f t="shared" si="36"/>
        <v>8.0555555556202307E-2</v>
      </c>
      <c r="AG87" s="188">
        <f t="shared" si="37"/>
        <v>0</v>
      </c>
    </row>
    <row r="88" spans="2:33" ht="15" customHeight="1" x14ac:dyDescent="0.15">
      <c r="B88" s="174" t="s">
        <v>19</v>
      </c>
      <c r="C88" s="175" t="s">
        <v>15</v>
      </c>
      <c r="D88" s="176" t="str">
        <f t="shared" si="19"/>
        <v>C</v>
      </c>
      <c r="E88" s="177" t="d">
        <v>2021-11-26T13:30:00.000</v>
      </c>
      <c r="F88" s="178" t="s">
        <v>77</v>
      </c>
      <c r="G88" s="179">
        <v>1813.94</v>
      </c>
      <c r="H88" s="179">
        <v>1808.32</v>
      </c>
      <c r="I88" s="180">
        <f t="shared" si="20"/>
        <v>5.6200000000001182</v>
      </c>
      <c r="J88" s="179">
        <v>1840.91</v>
      </c>
      <c r="K88" s="177" t="d">
        <v>2021-11-26T14:12:00.0000000419095125</v>
      </c>
      <c r="L88" s="179">
        <v>1808.32</v>
      </c>
      <c r="M88" s="181">
        <f t="shared" si="21"/>
        <v>-5.62</v>
      </c>
      <c r="N88" s="182">
        <f t="shared" si="22"/>
        <v>-1</v>
      </c>
      <c r="O88" s="183">
        <f t="shared" si="23"/>
        <v>0</v>
      </c>
      <c r="P88" s="184">
        <f t="shared" si="24"/>
        <v>0</v>
      </c>
      <c r="Q88" s="184">
        <f t="shared" si="25"/>
        <v>-1</v>
      </c>
      <c r="R8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61710</v>
      </c>
      <c r="T8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88" s="186">
        <f ca="1">IF(Tabla33610673[[#This Row],[Equity]]&lt;Tabla33610673[[#This Row],[Equity Peak]],(Tabla33610673[[#This Row],[Equity Peak]]-Tabla33610673[[#This Row],[Equity]])/Tabla33610673[[#This Row],[Equity Peak]],"")</f>
        <v>4.0348612007746936E-3</v>
      </c>
      <c r="V88" s="187">
        <f t="shared" si="26"/>
        <v>0</v>
      </c>
      <c r="W88" s="187">
        <f t="shared" si="27"/>
        <v>0</v>
      </c>
      <c r="X88" s="187">
        <f t="shared" si="28"/>
        <v>-1</v>
      </c>
      <c r="Y88" s="187">
        <f t="shared" si="29"/>
        <v>0</v>
      </c>
      <c r="Z88" s="187">
        <f t="shared" si="30"/>
        <v>0</v>
      </c>
      <c r="AA88" s="183">
        <f t="shared" si="31"/>
        <v>0</v>
      </c>
      <c r="AB88" s="187">
        <f t="shared" si="32"/>
        <v>0</v>
      </c>
      <c r="AC88" s="183">
        <f t="shared" si="33"/>
        <v>0</v>
      </c>
      <c r="AD88" s="188">
        <f t="shared" si="34"/>
        <v>2.9166666667151731E-2</v>
      </c>
      <c r="AE88" s="188">
        <f t="shared" si="35"/>
        <v>0</v>
      </c>
      <c r="AF88" s="188">
        <f t="shared" si="36"/>
        <v>2.9166666667151731E-2</v>
      </c>
      <c r="AG88" s="188">
        <f t="shared" si="37"/>
        <v>0</v>
      </c>
    </row>
    <row r="89" spans="2:33" ht="15" customHeight="1" x14ac:dyDescent="0.15">
      <c r="B89" s="174" t="s">
        <v>5</v>
      </c>
      <c r="C89" s="175" t="s">
        <v>13</v>
      </c>
      <c r="D89" s="176" t="str">
        <f t="shared" si="19"/>
        <v>C</v>
      </c>
      <c r="E89" s="177" t="d">
        <v>2021-11-26T01:44:59.99999979045242400</v>
      </c>
      <c r="F89" s="178" t="s">
        <v>82</v>
      </c>
      <c r="G89" s="179">
        <v>4695.54</v>
      </c>
      <c r="H89" s="179">
        <v>4714.38</v>
      </c>
      <c r="I89" s="180">
        <f t="shared" si="20"/>
        <v>18.840000000000146</v>
      </c>
      <c r="J89" s="179">
        <v>4573.08</v>
      </c>
      <c r="K89" s="177" t="d">
        <v>2021-11-26T10:57:00.00000025145709525</v>
      </c>
      <c r="L89" s="179">
        <v>4628.51</v>
      </c>
      <c r="M89" s="181">
        <f t="shared" si="21"/>
        <v>67.03</v>
      </c>
      <c r="N89" s="182">
        <f t="shared" si="22"/>
        <v>3.56</v>
      </c>
      <c r="O89" s="183">
        <f t="shared" si="23"/>
        <v>0</v>
      </c>
      <c r="P89" s="184">
        <f t="shared" si="24"/>
        <v>3.56</v>
      </c>
      <c r="Q89" s="184">
        <f t="shared" si="25"/>
        <v>0</v>
      </c>
      <c r="R8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61960</v>
      </c>
      <c r="T8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61960</v>
      </c>
      <c r="U89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89" s="187">
        <f t="shared" si="26"/>
        <v>0</v>
      </c>
      <c r="W89" s="187">
        <f t="shared" si="27"/>
        <v>0</v>
      </c>
      <c r="X89" s="187">
        <f t="shared" si="28"/>
        <v>0</v>
      </c>
      <c r="Y89" s="187">
        <f t="shared" si="29"/>
        <v>0</v>
      </c>
      <c r="Z89" s="187">
        <f t="shared" si="30"/>
        <v>3.56</v>
      </c>
      <c r="AA89" s="183">
        <f t="shared" si="31"/>
        <v>0</v>
      </c>
      <c r="AB89" s="187">
        <f t="shared" si="32"/>
        <v>0</v>
      </c>
      <c r="AC89" s="183">
        <f t="shared" si="33"/>
        <v>0</v>
      </c>
      <c r="AD89" s="188">
        <f t="shared" si="34"/>
        <v>0.38333333333866904</v>
      </c>
      <c r="AE89" s="188">
        <f t="shared" si="35"/>
        <v>0.38333333333866904</v>
      </c>
      <c r="AF89" s="188">
        <f t="shared" si="36"/>
        <v>0</v>
      </c>
      <c r="AG89" s="188">
        <f t="shared" si="37"/>
        <v>0</v>
      </c>
    </row>
    <row r="90" spans="2:33" ht="15" customHeight="1" x14ac:dyDescent="0.15">
      <c r="B90" s="174" t="s">
        <v>5</v>
      </c>
      <c r="C90" s="175" t="s">
        <v>13</v>
      </c>
      <c r="D90" s="176" t="str">
        <f t="shared" si="19"/>
        <v>C</v>
      </c>
      <c r="E90" s="177" t="d">
        <v>2021-11-26T03:45:00.000</v>
      </c>
      <c r="F90" s="178" t="s">
        <v>80</v>
      </c>
      <c r="G90" s="179">
        <v>15713.7</v>
      </c>
      <c r="H90" s="179">
        <v>15769.79</v>
      </c>
      <c r="I90" s="180">
        <f t="shared" si="20"/>
        <v>56.090000000000146</v>
      </c>
      <c r="J90" s="179">
        <v>15302.35</v>
      </c>
      <c r="K90" s="177" t="d">
        <v>2021-11-26T10:22:59.99999988824129100</v>
      </c>
      <c r="L90" s="179">
        <v>15302.35</v>
      </c>
      <c r="M90" s="181">
        <f t="shared" si="21"/>
        <v>411.35</v>
      </c>
      <c r="N90" s="182">
        <f t="shared" si="22"/>
        <v>7.33</v>
      </c>
      <c r="O90" s="183">
        <f t="shared" si="23"/>
        <v>0</v>
      </c>
      <c r="P90" s="184">
        <f t="shared" si="24"/>
        <v>7.33</v>
      </c>
      <c r="Q90" s="184">
        <f t="shared" si="25"/>
        <v>0</v>
      </c>
      <c r="R9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61070</v>
      </c>
      <c r="T9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61070</v>
      </c>
      <c r="U90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90" s="187">
        <f t="shared" si="26"/>
        <v>0</v>
      </c>
      <c r="W90" s="187">
        <f t="shared" si="27"/>
        <v>0</v>
      </c>
      <c r="X90" s="187">
        <f t="shared" si="28"/>
        <v>0</v>
      </c>
      <c r="Y90" s="187">
        <f t="shared" si="29"/>
        <v>0</v>
      </c>
      <c r="Z90" s="187">
        <f t="shared" si="30"/>
        <v>7.33</v>
      </c>
      <c r="AA90" s="183">
        <f t="shared" si="31"/>
        <v>0</v>
      </c>
      <c r="AB90" s="187">
        <f t="shared" si="32"/>
        <v>0</v>
      </c>
      <c r="AC90" s="183">
        <f t="shared" si="33"/>
        <v>0</v>
      </c>
      <c r="AD90" s="188">
        <f t="shared" si="34"/>
        <v>0.27638888888759539</v>
      </c>
      <c r="AE90" s="188">
        <f t="shared" si="35"/>
        <v>0.27638888888759539</v>
      </c>
      <c r="AF90" s="188">
        <f t="shared" si="36"/>
        <v>0</v>
      </c>
      <c r="AG90" s="188">
        <f t="shared" si="37"/>
        <v>0</v>
      </c>
    </row>
    <row r="91" spans="2:33" ht="15" customHeight="1" x14ac:dyDescent="0.15">
      <c r="B91" s="174" t="s">
        <v>7</v>
      </c>
      <c r="C91" s="175" t="s">
        <v>13</v>
      </c>
      <c r="D91" s="176" t="str">
        <f t="shared" si="19"/>
        <v>C</v>
      </c>
      <c r="E91" s="177" t="d">
        <v>2021-11-26T02:00:00.00000020954757600</v>
      </c>
      <c r="F91" s="178" t="s">
        <v>102</v>
      </c>
      <c r="G91" s="179">
        <v>153.196</v>
      </c>
      <c r="H91" s="179">
        <v>153.416</v>
      </c>
      <c r="I91" s="180">
        <f t="shared" si="20"/>
        <v>0.21999999999999886</v>
      </c>
      <c r="J91" s="179">
        <v>152.02199999999999</v>
      </c>
      <c r="K91" s="177" t="d">
        <v>2021-11-26T09:42:00.0000000419095125</v>
      </c>
      <c r="L91" s="179">
        <v>152.02199999999999</v>
      </c>
      <c r="M91" s="181">
        <f t="shared" si="21"/>
        <v>1.1739999999999999</v>
      </c>
      <c r="N91" s="182">
        <f t="shared" si="22"/>
        <v>5.34</v>
      </c>
      <c r="O91" s="183">
        <f t="shared" si="23"/>
        <v>0</v>
      </c>
      <c r="P91" s="184">
        <f t="shared" si="24"/>
        <v>5.34</v>
      </c>
      <c r="Q91" s="184">
        <f t="shared" si="25"/>
        <v>0</v>
      </c>
      <c r="R9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59237.5</v>
      </c>
      <c r="T9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91" s="186">
        <f ca="1">IF(Tabla33610673[[#This Row],[Equity]]&lt;Tabla33610673[[#This Row],[Equity Peak]],(Tabla33610673[[#This Row],[Equity Peak]]-Tabla33610673[[#This Row],[Equity]])/Tabla33610673[[#This Row],[Equity Peak]],"")</f>
        <v>1.2543757292882146E-2</v>
      </c>
      <c r="V91" s="187">
        <f t="shared" si="26"/>
        <v>5.34</v>
      </c>
      <c r="W91" s="187">
        <f t="shared" si="27"/>
        <v>0</v>
      </c>
      <c r="X91" s="187">
        <f t="shared" si="28"/>
        <v>0</v>
      </c>
      <c r="Y91" s="187">
        <f t="shared" si="29"/>
        <v>0</v>
      </c>
      <c r="Z91" s="187">
        <f t="shared" si="30"/>
        <v>0</v>
      </c>
      <c r="AA91" s="183">
        <f t="shared" si="31"/>
        <v>0</v>
      </c>
      <c r="AB91" s="187">
        <f t="shared" si="32"/>
        <v>0</v>
      </c>
      <c r="AC91" s="183">
        <f t="shared" si="33"/>
        <v>0</v>
      </c>
      <c r="AD91" s="188">
        <f t="shared" si="34"/>
        <v>0.32083333333139308</v>
      </c>
      <c r="AE91" s="188">
        <f t="shared" si="35"/>
        <v>0.32083333333139308</v>
      </c>
      <c r="AF91" s="188">
        <f t="shared" si="36"/>
        <v>0</v>
      </c>
      <c r="AG91" s="188">
        <f t="shared" si="37"/>
        <v>0</v>
      </c>
    </row>
    <row r="92" spans="2:33" ht="15" customHeight="1" x14ac:dyDescent="0.15">
      <c r="B92" s="174" t="s">
        <v>5</v>
      </c>
      <c r="C92" s="175" t="s">
        <v>15</v>
      </c>
      <c r="D92" s="176" t="str">
        <f t="shared" si="19"/>
        <v>C</v>
      </c>
      <c r="E92" s="177" t="d">
        <v>2021-11-25T10:15:00.00000020954757600</v>
      </c>
      <c r="F92" s="178" t="s">
        <v>81</v>
      </c>
      <c r="G92" s="179">
        <v>16426.18</v>
      </c>
      <c r="H92" s="179">
        <v>16344.71</v>
      </c>
      <c r="I92" s="180">
        <f t="shared" si="20"/>
        <v>81.470000000001164</v>
      </c>
      <c r="J92" s="179">
        <v>16915</v>
      </c>
      <c r="K92" s="177" t="d">
        <v>2021-11-26T02:26:59.99999983236193650</v>
      </c>
      <c r="L92" s="179">
        <v>16344.71</v>
      </c>
      <c r="M92" s="181">
        <f t="shared" si="21"/>
        <v>-81.47</v>
      </c>
      <c r="N92" s="182">
        <f t="shared" si="22"/>
        <v>-1</v>
      </c>
      <c r="O92" s="183">
        <f t="shared" si="23"/>
        <v>0</v>
      </c>
      <c r="P92" s="184">
        <f t="shared" si="24"/>
        <v>0</v>
      </c>
      <c r="Q92" s="184">
        <f t="shared" si="25"/>
        <v>-1</v>
      </c>
      <c r="R9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57902.5</v>
      </c>
      <c r="T9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92" s="186">
        <f ca="1">IF(Tabla33610673[[#This Row],[Equity]]&lt;Tabla33610673[[#This Row],[Equity Peak]],(Tabla33610673[[#This Row],[Equity Peak]]-Tabla33610673[[#This Row],[Equity]])/Tabla33610673[[#This Row],[Equity Peak]],"")</f>
        <v>3.4797466244374062E-2</v>
      </c>
      <c r="V92" s="187">
        <f t="shared" si="26"/>
        <v>0</v>
      </c>
      <c r="W92" s="187">
        <f t="shared" si="27"/>
        <v>0</v>
      </c>
      <c r="X92" s="187">
        <f t="shared" si="28"/>
        <v>0</v>
      </c>
      <c r="Y92" s="187">
        <f t="shared" si="29"/>
        <v>0</v>
      </c>
      <c r="Z92" s="187">
        <f t="shared" si="30"/>
        <v>-1</v>
      </c>
      <c r="AA92" s="183">
        <f t="shared" si="31"/>
        <v>0</v>
      </c>
      <c r="AB92" s="187">
        <f t="shared" si="32"/>
        <v>0</v>
      </c>
      <c r="AC92" s="183">
        <f t="shared" si="33"/>
        <v>0</v>
      </c>
      <c r="AD92" s="188">
        <f t="shared" si="34"/>
        <v>0.67499999999563443</v>
      </c>
      <c r="AE92" s="188">
        <f t="shared" si="35"/>
        <v>0</v>
      </c>
      <c r="AF92" s="188">
        <f t="shared" si="36"/>
        <v>0.67499999999563443</v>
      </c>
      <c r="AG92" s="188">
        <f t="shared" si="37"/>
        <v>0</v>
      </c>
    </row>
    <row r="93" spans="2:33" ht="15" customHeight="1" x14ac:dyDescent="0.15">
      <c r="B93" s="174" t="s">
        <v>7</v>
      </c>
      <c r="C93" s="175" t="s">
        <v>15</v>
      </c>
      <c r="D93" s="176" t="str">
        <f t="shared" si="19"/>
        <v>C</v>
      </c>
      <c r="E93" s="177" t="d">
        <v>2021-11-24T16:15:00.00000020954757600</v>
      </c>
      <c r="F93" s="178" t="s">
        <v>103</v>
      </c>
      <c r="G93" s="179">
        <v>115.288</v>
      </c>
      <c r="H93" s="179">
        <v>115.04600000000001</v>
      </c>
      <c r="I93" s="180">
        <f t="shared" si="20"/>
        <v>0.24199999999999022</v>
      </c>
      <c r="J93" s="179">
        <v>116.807</v>
      </c>
      <c r="K93" s="177" t="d">
        <v>2021-11-26T01:31:59.99999976251274675</v>
      </c>
      <c r="L93" s="179">
        <v>115.17</v>
      </c>
      <c r="M93" s="181">
        <f t="shared" si="21"/>
        <v>-0.11799999999999999</v>
      </c>
      <c r="N93" s="182">
        <f t="shared" si="22"/>
        <v>-0.49</v>
      </c>
      <c r="O93" s="183">
        <f t="shared" si="23"/>
        <v>0</v>
      </c>
      <c r="P93" s="184">
        <f t="shared" si="24"/>
        <v>0</v>
      </c>
      <c r="Q93" s="184">
        <f t="shared" si="25"/>
        <v>-0.49</v>
      </c>
      <c r="R9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58152.5</v>
      </c>
      <c r="T9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93" s="186">
        <f ca="1">IF(Tabla33610673[[#This Row],[Equity]]&lt;Tabla33610673[[#This Row],[Equity Peak]],(Tabla33610673[[#This Row],[Equity Peak]]-Tabla33610673[[#This Row],[Equity]])/Tabla33610673[[#This Row],[Equity Peak]],"")</f>
        <v>3.0630105017502917E-2</v>
      </c>
      <c r="V93" s="187">
        <f t="shared" si="26"/>
        <v>-0.49</v>
      </c>
      <c r="W93" s="187">
        <f t="shared" si="27"/>
        <v>0</v>
      </c>
      <c r="X93" s="187">
        <f t="shared" si="28"/>
        <v>0</v>
      </c>
      <c r="Y93" s="187">
        <f t="shared" si="29"/>
        <v>0</v>
      </c>
      <c r="Z93" s="187">
        <f t="shared" si="30"/>
        <v>0</v>
      </c>
      <c r="AA93" s="183">
        <f t="shared" si="31"/>
        <v>0</v>
      </c>
      <c r="AB93" s="187">
        <f t="shared" si="32"/>
        <v>0</v>
      </c>
      <c r="AC93" s="183">
        <f t="shared" si="33"/>
        <v>0</v>
      </c>
      <c r="AD93" s="188">
        <f t="shared" si="34"/>
        <v>1.3868055555503815</v>
      </c>
      <c r="AE93" s="188">
        <f t="shared" si="35"/>
        <v>0</v>
      </c>
      <c r="AF93" s="188">
        <f t="shared" si="36"/>
        <v>1.3868055555503815</v>
      </c>
      <c r="AG93" s="188">
        <f t="shared" si="37"/>
        <v>0</v>
      </c>
    </row>
    <row r="94" spans="2:33" ht="15" customHeight="1" x14ac:dyDescent="0.15">
      <c r="B94" s="174" t="s">
        <v>5</v>
      </c>
      <c r="C94" s="175" t="s">
        <v>15</v>
      </c>
      <c r="D94" s="176" t="str">
        <f t="shared" si="19"/>
        <v>C</v>
      </c>
      <c r="E94" s="177" t="d">
        <v>2021-11-24T20:15:00.000</v>
      </c>
      <c r="F94" s="178" t="s">
        <v>82</v>
      </c>
      <c r="G94" s="179">
        <v>4696.1099999999997</v>
      </c>
      <c r="H94" s="179">
        <v>4676.7</v>
      </c>
      <c r="I94" s="180">
        <f t="shared" si="20"/>
        <v>19.409999999999854</v>
      </c>
      <c r="J94" s="179">
        <v>4822.28</v>
      </c>
      <c r="K94" s="177" t="d">
        <v>2021-11-26T01:25:59.99999984633177850</v>
      </c>
      <c r="L94" s="179">
        <v>4700.28</v>
      </c>
      <c r="M94" s="181">
        <f t="shared" si="21"/>
        <v>4.17</v>
      </c>
      <c r="N94" s="182">
        <f t="shared" si="22"/>
        <v>0.21</v>
      </c>
      <c r="O94" s="183">
        <f t="shared" si="23"/>
        <v>0</v>
      </c>
      <c r="P94" s="184">
        <f t="shared" si="24"/>
        <v>0.21</v>
      </c>
      <c r="Q94" s="184">
        <f t="shared" si="25"/>
        <v>0</v>
      </c>
      <c r="R9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58275</v>
      </c>
      <c r="T9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94" s="186">
        <f ca="1">IF(Tabla33610673[[#This Row],[Equity]]&lt;Tabla33610673[[#This Row],[Equity Peak]],(Tabla33610673[[#This Row],[Equity Peak]]-Tabla33610673[[#This Row],[Equity]])/Tabla33610673[[#This Row],[Equity Peak]],"")</f>
        <v>2.8588098016336057E-2</v>
      </c>
      <c r="V94" s="187">
        <f t="shared" si="26"/>
        <v>0</v>
      </c>
      <c r="W94" s="187">
        <f t="shared" si="27"/>
        <v>0</v>
      </c>
      <c r="X94" s="187">
        <f t="shared" si="28"/>
        <v>0</v>
      </c>
      <c r="Y94" s="187">
        <f t="shared" si="29"/>
        <v>0</v>
      </c>
      <c r="Z94" s="187">
        <f t="shared" si="30"/>
        <v>0.21</v>
      </c>
      <c r="AA94" s="183">
        <f t="shared" si="31"/>
        <v>0</v>
      </c>
      <c r="AB94" s="187">
        <f t="shared" si="32"/>
        <v>0</v>
      </c>
      <c r="AC94" s="183">
        <f t="shared" si="33"/>
        <v>0</v>
      </c>
      <c r="AD94" s="188">
        <f t="shared" si="34"/>
        <v>1.2159722222204437</v>
      </c>
      <c r="AE94" s="188">
        <f t="shared" si="35"/>
        <v>1.2159722222204437</v>
      </c>
      <c r="AF94" s="188">
        <f t="shared" si="36"/>
        <v>0</v>
      </c>
      <c r="AG94" s="188">
        <f t="shared" si="37"/>
        <v>0</v>
      </c>
    </row>
    <row r="95" spans="2:33" ht="15" customHeight="1" x14ac:dyDescent="0.15">
      <c r="B95" s="174" t="s">
        <v>5</v>
      </c>
      <c r="C95" s="175" t="s">
        <v>13</v>
      </c>
      <c r="D95" s="176" t="str">
        <f t="shared" si="19"/>
        <v>C</v>
      </c>
      <c r="E95" s="177" t="d">
        <v>2021-11-24T15:59:59.99999979045242400</v>
      </c>
      <c r="F95" s="178" t="s">
        <v>82</v>
      </c>
      <c r="G95" s="179">
        <v>4666.6899999999996</v>
      </c>
      <c r="H95" s="179">
        <v>4685.04</v>
      </c>
      <c r="I95" s="180">
        <f t="shared" si="20"/>
        <v>18.350000000000364</v>
      </c>
      <c r="J95" s="179">
        <v>4547.42</v>
      </c>
      <c r="K95" s="177" t="d">
        <v>2021-11-24T17:28:00.00000002793967725</v>
      </c>
      <c r="L95" s="179">
        <v>4682.13</v>
      </c>
      <c r="M95" s="181">
        <f t="shared" si="21"/>
        <v>-15.44</v>
      </c>
      <c r="N95" s="182">
        <f t="shared" si="22"/>
        <v>-0.84</v>
      </c>
      <c r="O95" s="183">
        <f t="shared" si="23"/>
        <v>0</v>
      </c>
      <c r="P95" s="184">
        <f t="shared" si="24"/>
        <v>0</v>
      </c>
      <c r="Q95" s="184">
        <f t="shared" si="25"/>
        <v>-0.84</v>
      </c>
      <c r="R9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58222.5</v>
      </c>
      <c r="T9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95" s="186">
        <f ca="1">IF(Tabla33610673[[#This Row],[Equity]]&lt;Tabla33610673[[#This Row],[Equity Peak]],(Tabla33610673[[#This Row],[Equity Peak]]-Tabla33610673[[#This Row],[Equity]])/Tabla33610673[[#This Row],[Equity Peak]],"")</f>
        <v>2.9463243873978997E-2</v>
      </c>
      <c r="V95" s="187">
        <f t="shared" si="26"/>
        <v>0</v>
      </c>
      <c r="W95" s="187">
        <f t="shared" si="27"/>
        <v>0</v>
      </c>
      <c r="X95" s="187">
        <f t="shared" si="28"/>
        <v>0</v>
      </c>
      <c r="Y95" s="187">
        <f t="shared" si="29"/>
        <v>0</v>
      </c>
      <c r="Z95" s="187">
        <f t="shared" si="30"/>
        <v>-0.84</v>
      </c>
      <c r="AA95" s="183">
        <f t="shared" si="31"/>
        <v>0</v>
      </c>
      <c r="AB95" s="187">
        <f t="shared" si="32"/>
        <v>0</v>
      </c>
      <c r="AC95" s="183">
        <f t="shared" si="33"/>
        <v>0</v>
      </c>
      <c r="AD95" s="188">
        <f t="shared" si="34"/>
        <v>6.1111111113859806E-2</v>
      </c>
      <c r="AE95" s="188">
        <f t="shared" si="35"/>
        <v>0</v>
      </c>
      <c r="AF95" s="188">
        <f t="shared" si="36"/>
        <v>6.1111111113859806E-2</v>
      </c>
      <c r="AG95" s="188">
        <f t="shared" si="37"/>
        <v>0</v>
      </c>
    </row>
    <row r="96" spans="2:33" ht="15" customHeight="1" x14ac:dyDescent="0.15">
      <c r="B96" s="174" t="s">
        <v>5</v>
      </c>
      <c r="C96" s="175" t="s">
        <v>13</v>
      </c>
      <c r="D96" s="176" t="str">
        <f t="shared" si="19"/>
        <v>C</v>
      </c>
      <c r="E96" s="177" t="d">
        <v>2021-11-23T20:45:00.00000020954757600</v>
      </c>
      <c r="F96" s="178" t="s">
        <v>81</v>
      </c>
      <c r="G96" s="179">
        <v>16122.49</v>
      </c>
      <c r="H96" s="179">
        <v>16198.41</v>
      </c>
      <c r="I96" s="180">
        <f t="shared" si="20"/>
        <v>75.920000000000073</v>
      </c>
      <c r="J96" s="179">
        <v>15666.95</v>
      </c>
      <c r="K96" s="177" t="d">
        <v>2021-11-23T20:54:00.00000008381903175</v>
      </c>
      <c r="L96" s="179">
        <v>16198.41</v>
      </c>
      <c r="M96" s="181">
        <f t="shared" si="21"/>
        <v>-75.92</v>
      </c>
      <c r="N96" s="182">
        <f t="shared" si="22"/>
        <v>-1</v>
      </c>
      <c r="O96" s="183">
        <f t="shared" si="23"/>
        <v>0</v>
      </c>
      <c r="P96" s="184">
        <f t="shared" si="24"/>
        <v>0</v>
      </c>
      <c r="Q96" s="184">
        <f t="shared" si="25"/>
        <v>-1</v>
      </c>
      <c r="R9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58432.5</v>
      </c>
      <c r="T9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96" s="186">
        <f ca="1">IF(Tabla33610673[[#This Row],[Equity]]&lt;Tabla33610673[[#This Row],[Equity Peak]],(Tabla33610673[[#This Row],[Equity Peak]]-Tabla33610673[[#This Row],[Equity]])/Tabla33610673[[#This Row],[Equity Peak]],"")</f>
        <v>2.5962660443407233E-2</v>
      </c>
      <c r="V96" s="187">
        <f t="shared" si="26"/>
        <v>0</v>
      </c>
      <c r="W96" s="187">
        <f t="shared" si="27"/>
        <v>0</v>
      </c>
      <c r="X96" s="187">
        <f t="shared" si="28"/>
        <v>0</v>
      </c>
      <c r="Y96" s="187">
        <f t="shared" si="29"/>
        <v>0</v>
      </c>
      <c r="Z96" s="187">
        <f t="shared" si="30"/>
        <v>-1</v>
      </c>
      <c r="AA96" s="183">
        <f t="shared" si="31"/>
        <v>0</v>
      </c>
      <c r="AB96" s="187">
        <f t="shared" si="32"/>
        <v>0</v>
      </c>
      <c r="AC96" s="183">
        <f t="shared" si="33"/>
        <v>0</v>
      </c>
      <c r="AD96" s="188">
        <f t="shared" si="34"/>
        <v>6.2499999985448085E-3</v>
      </c>
      <c r="AE96" s="188">
        <f t="shared" si="35"/>
        <v>0</v>
      </c>
      <c r="AF96" s="188">
        <f t="shared" si="36"/>
        <v>6.2499999985448085E-3</v>
      </c>
      <c r="AG96" s="188">
        <f t="shared" si="37"/>
        <v>0</v>
      </c>
    </row>
    <row r="97" spans="2:33" ht="15" customHeight="1" x14ac:dyDescent="0.15">
      <c r="B97" s="174" t="s">
        <v>5</v>
      </c>
      <c r="C97" s="175" t="s">
        <v>13</v>
      </c>
      <c r="D97" s="176" t="str">
        <f t="shared" si="19"/>
        <v>C</v>
      </c>
      <c r="E97" s="177" t="d">
        <v>2021-11-23T09:14:59.99999979045242400</v>
      </c>
      <c r="F97" s="178" t="s">
        <v>80</v>
      </c>
      <c r="G97" s="179">
        <v>16005.77</v>
      </c>
      <c r="H97" s="179">
        <v>16063.82</v>
      </c>
      <c r="I97" s="180">
        <f t="shared" si="20"/>
        <v>58.049999999999272</v>
      </c>
      <c r="J97" s="179">
        <v>15580.08</v>
      </c>
      <c r="K97" s="177" t="d">
        <v>2021-11-23T13:57:00.00000025145709525</v>
      </c>
      <c r="L97" s="179">
        <v>16000.08</v>
      </c>
      <c r="M97" s="181">
        <f t="shared" si="21"/>
        <v>5.69</v>
      </c>
      <c r="N97" s="182">
        <f t="shared" si="22"/>
        <v>0.1</v>
      </c>
      <c r="O97" s="183">
        <f t="shared" si="23"/>
        <v>0</v>
      </c>
      <c r="P97" s="184">
        <f t="shared" si="24"/>
        <v>0.1</v>
      </c>
      <c r="Q97" s="184">
        <f t="shared" si="25"/>
        <v>0</v>
      </c>
      <c r="R9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58682.5</v>
      </c>
      <c r="T9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97" s="186">
        <f ca="1">IF(Tabla33610673[[#This Row],[Equity]]&lt;Tabla33610673[[#This Row],[Equity Peak]],(Tabla33610673[[#This Row],[Equity Peak]]-Tabla33610673[[#This Row],[Equity]])/Tabla33610673[[#This Row],[Equity Peak]],"")</f>
        <v>2.1795299216536088E-2</v>
      </c>
      <c r="V97" s="187">
        <f t="shared" si="26"/>
        <v>0</v>
      </c>
      <c r="W97" s="187">
        <f t="shared" si="27"/>
        <v>0</v>
      </c>
      <c r="X97" s="187">
        <f t="shared" si="28"/>
        <v>0</v>
      </c>
      <c r="Y97" s="187">
        <f t="shared" si="29"/>
        <v>0</v>
      </c>
      <c r="Z97" s="187">
        <f t="shared" si="30"/>
        <v>0.1</v>
      </c>
      <c r="AA97" s="183">
        <f t="shared" si="31"/>
        <v>0</v>
      </c>
      <c r="AB97" s="187">
        <f t="shared" si="32"/>
        <v>0</v>
      </c>
      <c r="AC97" s="183">
        <f t="shared" si="33"/>
        <v>0</v>
      </c>
      <c r="AD97" s="188">
        <f t="shared" si="34"/>
        <v>0.19583333333866904</v>
      </c>
      <c r="AE97" s="188">
        <f t="shared" si="35"/>
        <v>0.19583333333866904</v>
      </c>
      <c r="AF97" s="188">
        <f t="shared" si="36"/>
        <v>0</v>
      </c>
      <c r="AG97" s="188">
        <f t="shared" si="37"/>
        <v>0</v>
      </c>
    </row>
    <row r="98" spans="2:33" ht="15" customHeight="1" x14ac:dyDescent="0.15">
      <c r="B98" s="174" t="s">
        <v>5</v>
      </c>
      <c r="C98" s="175" t="s">
        <v>13</v>
      </c>
      <c r="D98" s="176" t="str">
        <f t="shared" si="19"/>
        <v>C</v>
      </c>
      <c r="E98" s="177" t="d">
        <v>2021-11-22T23:00:00.00000020954757600</v>
      </c>
      <c r="F98" s="178" t="s">
        <v>82</v>
      </c>
      <c r="G98" s="179">
        <v>4682.8</v>
      </c>
      <c r="H98" s="179">
        <v>4697.57</v>
      </c>
      <c r="I98" s="180">
        <f t="shared" si="20"/>
        <v>14.769999999999527</v>
      </c>
      <c r="J98" s="179">
        <v>4586.8100000000004</v>
      </c>
      <c r="K98" s="177" t="d">
        <v>2021-11-23T11:45:59.99999977648258200</v>
      </c>
      <c r="L98" s="179">
        <v>4677.33</v>
      </c>
      <c r="M98" s="181">
        <f t="shared" si="21"/>
        <v>5.47</v>
      </c>
      <c r="N98" s="182">
        <f t="shared" si="22"/>
        <v>0.37</v>
      </c>
      <c r="O98" s="183">
        <f t="shared" si="23"/>
        <v>0</v>
      </c>
      <c r="P98" s="184">
        <f t="shared" si="24"/>
        <v>0.37</v>
      </c>
      <c r="Q98" s="184">
        <f t="shared" si="25"/>
        <v>0</v>
      </c>
      <c r="R9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58657.5</v>
      </c>
      <c r="T9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98" s="186">
        <f ca="1">IF(Tabla33610673[[#This Row],[Equity]]&lt;Tabla33610673[[#This Row],[Equity Peak]],(Tabla33610673[[#This Row],[Equity Peak]]-Tabla33610673[[#This Row],[Equity]])/Tabla33610673[[#This Row],[Equity Peak]],"")</f>
        <v>2.2212035339223203E-2</v>
      </c>
      <c r="V98" s="187">
        <f t="shared" si="26"/>
        <v>0</v>
      </c>
      <c r="W98" s="187">
        <f t="shared" si="27"/>
        <v>0</v>
      </c>
      <c r="X98" s="187">
        <f t="shared" si="28"/>
        <v>0</v>
      </c>
      <c r="Y98" s="187">
        <f t="shared" si="29"/>
        <v>0</v>
      </c>
      <c r="Z98" s="187">
        <f t="shared" si="30"/>
        <v>0.37</v>
      </c>
      <c r="AA98" s="183">
        <f t="shared" si="31"/>
        <v>0</v>
      </c>
      <c r="AB98" s="187">
        <f t="shared" si="32"/>
        <v>0</v>
      </c>
      <c r="AC98" s="183">
        <f t="shared" si="33"/>
        <v>0</v>
      </c>
      <c r="AD98" s="188">
        <f t="shared" si="34"/>
        <v>0.53194444443943212</v>
      </c>
      <c r="AE98" s="188">
        <f t="shared" si="35"/>
        <v>0.53194444443943212</v>
      </c>
      <c r="AF98" s="188">
        <f t="shared" si="36"/>
        <v>0</v>
      </c>
      <c r="AG98" s="188">
        <f t="shared" si="37"/>
        <v>0</v>
      </c>
    </row>
    <row r="99" spans="2:33" ht="15" customHeight="1" x14ac:dyDescent="0.15">
      <c r="B99" s="174" t="s">
        <v>7</v>
      </c>
      <c r="C99" s="175" t="s">
        <v>15</v>
      </c>
      <c r="D99" s="176" t="str">
        <f t="shared" si="19"/>
        <v>C</v>
      </c>
      <c r="E99" s="177" t="d">
        <v>2021-11-23T04:15:00.00000020954757600</v>
      </c>
      <c r="F99" s="178" t="s">
        <v>103</v>
      </c>
      <c r="G99" s="179">
        <v>114.995</v>
      </c>
      <c r="H99" s="179">
        <v>114.76</v>
      </c>
      <c r="I99" s="180">
        <f t="shared" si="20"/>
        <v>0.23499999999999943</v>
      </c>
      <c r="J99" s="179">
        <v>116.47199999999999</v>
      </c>
      <c r="K99" s="177" t="d">
        <v>2021-11-23T09:21:59.99999990221113300</v>
      </c>
      <c r="L99" s="179">
        <v>114.836</v>
      </c>
      <c r="M99" s="181">
        <f t="shared" si="21"/>
        <v>-0.159</v>
      </c>
      <c r="N99" s="182">
        <f t="shared" si="22"/>
        <v>-0.68</v>
      </c>
      <c r="O99" s="183">
        <f t="shared" si="23"/>
        <v>0</v>
      </c>
      <c r="P99" s="184">
        <f t="shared" si="24"/>
        <v>0</v>
      </c>
      <c r="Q99" s="184">
        <f t="shared" si="25"/>
        <v>-0.68</v>
      </c>
      <c r="R9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58565</v>
      </c>
      <c r="T9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99" s="186">
        <f ca="1">IF(Tabla33610673[[#This Row],[Equity]]&lt;Tabla33610673[[#This Row],[Equity Peak]],(Tabla33610673[[#This Row],[Equity Peak]]-Tabla33610673[[#This Row],[Equity]])/Tabla33610673[[#This Row],[Equity Peak]],"")</f>
        <v>2.3753958993165528E-2</v>
      </c>
      <c r="V99" s="187">
        <f t="shared" si="26"/>
        <v>-0.68</v>
      </c>
      <c r="W99" s="187">
        <f t="shared" si="27"/>
        <v>0</v>
      </c>
      <c r="X99" s="187">
        <f t="shared" si="28"/>
        <v>0</v>
      </c>
      <c r="Y99" s="187">
        <f t="shared" si="29"/>
        <v>0</v>
      </c>
      <c r="Z99" s="187">
        <f t="shared" si="30"/>
        <v>0</v>
      </c>
      <c r="AA99" s="183">
        <f t="shared" si="31"/>
        <v>0</v>
      </c>
      <c r="AB99" s="187">
        <f t="shared" si="32"/>
        <v>0</v>
      </c>
      <c r="AC99" s="183">
        <f t="shared" si="33"/>
        <v>0</v>
      </c>
      <c r="AD99" s="188">
        <f t="shared" si="34"/>
        <v>0.21319444444088731</v>
      </c>
      <c r="AE99" s="188">
        <f t="shared" si="35"/>
        <v>0</v>
      </c>
      <c r="AF99" s="188">
        <f t="shared" si="36"/>
        <v>0.21319444444088731</v>
      </c>
      <c r="AG99" s="188">
        <f t="shared" si="37"/>
        <v>0</v>
      </c>
    </row>
    <row r="100" spans="2:33" ht="15" customHeight="1" x14ac:dyDescent="0.15">
      <c r="B100" s="174" t="s">
        <v>5</v>
      </c>
      <c r="C100" s="175" t="s">
        <v>15</v>
      </c>
      <c r="D100" s="176" t="str">
        <f t="shared" si="19"/>
        <v>C</v>
      </c>
      <c r="E100" s="177" t="d">
        <v>2021-11-22T16:44:59.99999979045242400</v>
      </c>
      <c r="F100" s="178" t="s">
        <v>82</v>
      </c>
      <c r="G100" s="179">
        <v>4725.87</v>
      </c>
      <c r="H100" s="179">
        <v>4712.67</v>
      </c>
      <c r="I100" s="180">
        <f t="shared" si="20"/>
        <v>13.199999999999818</v>
      </c>
      <c r="J100" s="179">
        <v>4811.6499999999996</v>
      </c>
      <c r="K100" s="177" t="d">
        <v>2021-11-22T18:43:00.00000023748725325</v>
      </c>
      <c r="L100" s="179">
        <v>4726.99</v>
      </c>
      <c r="M100" s="181">
        <f t="shared" si="21"/>
        <v>1.1200000000000001</v>
      </c>
      <c r="N100" s="182">
        <f t="shared" si="22"/>
        <v>0.08</v>
      </c>
      <c r="O100" s="183">
        <f t="shared" si="23"/>
        <v>0</v>
      </c>
      <c r="P100" s="184">
        <f t="shared" si="24"/>
        <v>0.08</v>
      </c>
      <c r="Q100" s="184">
        <f t="shared" si="25"/>
        <v>0</v>
      </c>
      <c r="R10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58735</v>
      </c>
      <c r="T10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100" s="186">
        <f ca="1">IF(Tabla33610673[[#This Row],[Equity]]&lt;Tabla33610673[[#This Row],[Equity Peak]],(Tabla33610673[[#This Row],[Equity Peak]]-Tabla33610673[[#This Row],[Equity]])/Tabla33610673[[#This Row],[Equity Peak]],"")</f>
        <v>2.0920153358893148E-2</v>
      </c>
      <c r="V100" s="187">
        <f t="shared" si="26"/>
        <v>0</v>
      </c>
      <c r="W100" s="187">
        <f t="shared" si="27"/>
        <v>0</v>
      </c>
      <c r="X100" s="187">
        <f t="shared" si="28"/>
        <v>0</v>
      </c>
      <c r="Y100" s="187">
        <f t="shared" si="29"/>
        <v>0</v>
      </c>
      <c r="Z100" s="187">
        <f t="shared" si="30"/>
        <v>0.08</v>
      </c>
      <c r="AA100" s="183">
        <f t="shared" si="31"/>
        <v>0</v>
      </c>
      <c r="AB100" s="187">
        <f t="shared" si="32"/>
        <v>0</v>
      </c>
      <c r="AC100" s="183">
        <f t="shared" si="33"/>
        <v>0</v>
      </c>
      <c r="AD100" s="188">
        <f t="shared" si="34"/>
        <v>8.1944444449618459E-2</v>
      </c>
      <c r="AE100" s="188">
        <f t="shared" si="35"/>
        <v>8.1944444449618459E-2</v>
      </c>
      <c r="AF100" s="188">
        <f t="shared" si="36"/>
        <v>0</v>
      </c>
      <c r="AG100" s="188">
        <f t="shared" si="37"/>
        <v>0</v>
      </c>
    </row>
    <row r="101" spans="2:33" ht="15" customHeight="1" x14ac:dyDescent="0.15">
      <c r="B101" s="174" t="s">
        <v>19</v>
      </c>
      <c r="C101" s="175" t="s">
        <v>13</v>
      </c>
      <c r="D101" s="176" t="str">
        <f t="shared" si="19"/>
        <v>C</v>
      </c>
      <c r="E101" s="177" t="d">
        <v>2021-11-22T16:15:00.00000020954757600</v>
      </c>
      <c r="F101" s="178" t="s">
        <v>77</v>
      </c>
      <c r="G101" s="179">
        <v>1828.71</v>
      </c>
      <c r="H101" s="179">
        <v>1833.98</v>
      </c>
      <c r="I101" s="180">
        <f t="shared" si="20"/>
        <v>5.2699999999999818</v>
      </c>
      <c r="J101" s="179">
        <v>1803.43</v>
      </c>
      <c r="K101" s="177" t="d">
        <v>2021-11-22T16:47:59.99999974854290475</v>
      </c>
      <c r="L101" s="179">
        <v>1823.16</v>
      </c>
      <c r="M101" s="181">
        <f t="shared" si="21"/>
        <v>5.55</v>
      </c>
      <c r="N101" s="182">
        <f t="shared" si="22"/>
        <v>1.05</v>
      </c>
      <c r="O101" s="183">
        <f t="shared" si="23"/>
        <v>0</v>
      </c>
      <c r="P101" s="184">
        <f t="shared" si="24"/>
        <v>1.05</v>
      </c>
      <c r="Q101" s="184">
        <f t="shared" si="25"/>
        <v>0</v>
      </c>
      <c r="R10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58715</v>
      </c>
      <c r="T10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101" s="186">
        <f ca="1">IF(Tabla33610673[[#This Row],[Equity]]&lt;Tabla33610673[[#This Row],[Equity Peak]],(Tabla33610673[[#This Row],[Equity Peak]]-Tabla33610673[[#This Row],[Equity]])/Tabla33610673[[#This Row],[Equity Peak]],"")</f>
        <v>2.1253542257042842E-2</v>
      </c>
      <c r="V101" s="187">
        <f t="shared" si="26"/>
        <v>0</v>
      </c>
      <c r="W101" s="187">
        <f t="shared" si="27"/>
        <v>0</v>
      </c>
      <c r="X101" s="187">
        <f t="shared" si="28"/>
        <v>1.05</v>
      </c>
      <c r="Y101" s="187">
        <f t="shared" si="29"/>
        <v>0</v>
      </c>
      <c r="Z101" s="187">
        <f t="shared" si="30"/>
        <v>0</v>
      </c>
      <c r="AA101" s="183">
        <f t="shared" si="31"/>
        <v>0</v>
      </c>
      <c r="AB101" s="187">
        <f t="shared" si="32"/>
        <v>0</v>
      </c>
      <c r="AC101" s="183">
        <f t="shared" si="33"/>
        <v>0</v>
      </c>
      <c r="AD101" s="188">
        <f t="shared" si="34"/>
        <v>2.2916666661330964E-2</v>
      </c>
      <c r="AE101" s="188">
        <f t="shared" si="35"/>
        <v>2.2916666661330964E-2</v>
      </c>
      <c r="AF101" s="188">
        <f t="shared" si="36"/>
        <v>0</v>
      </c>
      <c r="AG101" s="188">
        <f t="shared" si="37"/>
        <v>0</v>
      </c>
    </row>
    <row r="102" spans="2:33" ht="15" customHeight="1" x14ac:dyDescent="0.15">
      <c r="B102" s="174" t="s">
        <v>19</v>
      </c>
      <c r="C102" s="175" t="s">
        <v>13</v>
      </c>
      <c r="D102" s="176" t="str">
        <f t="shared" si="19"/>
        <v>C</v>
      </c>
      <c r="E102" s="177" t="d">
        <v>2021-11-22T12:45:00.000</v>
      </c>
      <c r="F102" s="178" t="s">
        <v>77</v>
      </c>
      <c r="G102" s="179">
        <v>1837.99</v>
      </c>
      <c r="H102" s="179">
        <v>1843.1</v>
      </c>
      <c r="I102" s="180">
        <f t="shared" si="20"/>
        <v>5.1099999999999</v>
      </c>
      <c r="J102" s="179">
        <v>1813.46</v>
      </c>
      <c r="K102" s="177" t="d">
        <v>2021-11-22T13:53:00.000000097788870375</v>
      </c>
      <c r="L102" s="179">
        <v>1843.1</v>
      </c>
      <c r="M102" s="181">
        <f t="shared" si="21"/>
        <v>-5.1100000000000003</v>
      </c>
      <c r="N102" s="182">
        <f t="shared" si="22"/>
        <v>-1</v>
      </c>
      <c r="O102" s="183">
        <f t="shared" si="23"/>
        <v>0</v>
      </c>
      <c r="P102" s="184">
        <f t="shared" si="24"/>
        <v>0</v>
      </c>
      <c r="Q102" s="184">
        <f t="shared" si="25"/>
        <v>-1</v>
      </c>
      <c r="R10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58452.5</v>
      </c>
      <c r="T10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102" s="186">
        <f ca="1">IF(Tabla33610673[[#This Row],[Equity]]&lt;Tabla33610673[[#This Row],[Equity Peak]],(Tabla33610673[[#This Row],[Equity Peak]]-Tabla33610673[[#This Row],[Equity]])/Tabla33610673[[#This Row],[Equity Peak]],"")</f>
        <v>2.5629271545257543E-2</v>
      </c>
      <c r="V102" s="187">
        <f t="shared" si="26"/>
        <v>0</v>
      </c>
      <c r="W102" s="187">
        <f t="shared" si="27"/>
        <v>0</v>
      </c>
      <c r="X102" s="187">
        <f t="shared" si="28"/>
        <v>-1</v>
      </c>
      <c r="Y102" s="187">
        <f t="shared" si="29"/>
        <v>0</v>
      </c>
      <c r="Z102" s="187">
        <f t="shared" si="30"/>
        <v>0</v>
      </c>
      <c r="AA102" s="183">
        <f t="shared" si="31"/>
        <v>0</v>
      </c>
      <c r="AB102" s="187">
        <f t="shared" si="32"/>
        <v>0</v>
      </c>
      <c r="AC102" s="183">
        <f t="shared" si="33"/>
        <v>0</v>
      </c>
      <c r="AD102" s="188">
        <f t="shared" si="34"/>
        <v>4.7222222223354038E-2</v>
      </c>
      <c r="AE102" s="188">
        <f t="shared" si="35"/>
        <v>0</v>
      </c>
      <c r="AF102" s="188">
        <f t="shared" si="36"/>
        <v>4.7222222223354038E-2</v>
      </c>
      <c r="AG102" s="188">
        <f t="shared" si="37"/>
        <v>0</v>
      </c>
    </row>
    <row r="103" spans="2:33" ht="15" customHeight="1" x14ac:dyDescent="0.15">
      <c r="B103" s="174" t="s">
        <v>19</v>
      </c>
      <c r="C103" s="175" t="s">
        <v>13</v>
      </c>
      <c r="D103" s="176" t="str">
        <f t="shared" si="19"/>
        <v>C</v>
      </c>
      <c r="E103" s="177" t="d">
        <v>2021-11-19T19:44:59.99999979045242400</v>
      </c>
      <c r="F103" s="178" t="s">
        <v>77</v>
      </c>
      <c r="G103" s="179">
        <v>1843.7</v>
      </c>
      <c r="H103" s="179">
        <v>1848.91</v>
      </c>
      <c r="I103" s="180">
        <f t="shared" si="20"/>
        <v>5.2100000000000364</v>
      </c>
      <c r="J103" s="179">
        <v>1818.67</v>
      </c>
      <c r="K103" s="177" t="d">
        <v>2021-11-19T20:16:00.00000019557774075</v>
      </c>
      <c r="L103" s="179">
        <v>1848.91</v>
      </c>
      <c r="M103" s="181">
        <f t="shared" si="21"/>
        <v>-5.21</v>
      </c>
      <c r="N103" s="182">
        <f t="shared" si="22"/>
        <v>-1</v>
      </c>
      <c r="O103" s="183">
        <f t="shared" si="23"/>
        <v>0</v>
      </c>
      <c r="P103" s="184">
        <f t="shared" si="24"/>
        <v>0</v>
      </c>
      <c r="Q103" s="184">
        <f t="shared" si="25"/>
        <v>-1</v>
      </c>
      <c r="R10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58702.5</v>
      </c>
      <c r="T10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103" s="186">
        <f ca="1">IF(Tabla33610673[[#This Row],[Equity]]&lt;Tabla33610673[[#This Row],[Equity Peak]],(Tabla33610673[[#This Row],[Equity Peak]]-Tabla33610673[[#This Row],[Equity]])/Tabla33610673[[#This Row],[Equity Peak]],"")</f>
        <v>2.1461910318386398E-2</v>
      </c>
      <c r="V103" s="187">
        <f t="shared" si="26"/>
        <v>0</v>
      </c>
      <c r="W103" s="187">
        <f t="shared" si="27"/>
        <v>0</v>
      </c>
      <c r="X103" s="187">
        <f t="shared" si="28"/>
        <v>-1</v>
      </c>
      <c r="Y103" s="187">
        <f t="shared" si="29"/>
        <v>0</v>
      </c>
      <c r="Z103" s="187">
        <f t="shared" si="30"/>
        <v>0</v>
      </c>
      <c r="AA103" s="183">
        <f t="shared" si="31"/>
        <v>0</v>
      </c>
      <c r="AB103" s="187">
        <f t="shared" si="32"/>
        <v>0</v>
      </c>
      <c r="AC103" s="183">
        <f t="shared" si="33"/>
        <v>0</v>
      </c>
      <c r="AD103" s="188">
        <f t="shared" si="34"/>
        <v>2.1527777782466728E-2</v>
      </c>
      <c r="AE103" s="188">
        <f t="shared" si="35"/>
        <v>0</v>
      </c>
      <c r="AF103" s="188">
        <f t="shared" si="36"/>
        <v>2.1527777782466728E-2</v>
      </c>
      <c r="AG103" s="188">
        <f t="shared" si="37"/>
        <v>0</v>
      </c>
    </row>
    <row r="104" spans="2:33" ht="15" customHeight="1" x14ac:dyDescent="0.15">
      <c r="B104" s="174" t="s">
        <v>19</v>
      </c>
      <c r="C104" s="175" t="s">
        <v>15</v>
      </c>
      <c r="D104" s="176" t="str">
        <f t="shared" si="19"/>
        <v>C</v>
      </c>
      <c r="E104" s="177" t="d">
        <v>2021-11-19T12:00:00.000</v>
      </c>
      <c r="F104" s="178" t="s">
        <v>77</v>
      </c>
      <c r="G104" s="179">
        <v>1864.36</v>
      </c>
      <c r="H104" s="179">
        <v>1859.37</v>
      </c>
      <c r="I104" s="180">
        <f t="shared" si="20"/>
        <v>4.9900000000000091</v>
      </c>
      <c r="J104" s="179">
        <v>1888.3</v>
      </c>
      <c r="K104" s="177" t="d">
        <v>2021-11-19T12:43:00.00000023748725325</v>
      </c>
      <c r="L104" s="179">
        <v>1859.37</v>
      </c>
      <c r="M104" s="181">
        <f t="shared" si="21"/>
        <v>-4.99</v>
      </c>
      <c r="N104" s="182">
        <f t="shared" si="22"/>
        <v>-1</v>
      </c>
      <c r="O104" s="183">
        <f t="shared" si="23"/>
        <v>0</v>
      </c>
      <c r="P104" s="184">
        <f t="shared" si="24"/>
        <v>0</v>
      </c>
      <c r="Q104" s="184">
        <f t="shared" si="25"/>
        <v>-1</v>
      </c>
      <c r="R10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58952.5</v>
      </c>
      <c r="T10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104" s="186">
        <f ca="1">IF(Tabla33610673[[#This Row],[Equity]]&lt;Tabla33610673[[#This Row],[Equity Peak]],(Tabla33610673[[#This Row],[Equity Peak]]-Tabla33610673[[#This Row],[Equity]])/Tabla33610673[[#This Row],[Equity Peak]],"")</f>
        <v>1.7294549091515253E-2</v>
      </c>
      <c r="V104" s="187">
        <f t="shared" si="26"/>
        <v>0</v>
      </c>
      <c r="W104" s="187">
        <f t="shared" si="27"/>
        <v>0</v>
      </c>
      <c r="X104" s="187">
        <f t="shared" si="28"/>
        <v>-1</v>
      </c>
      <c r="Y104" s="187">
        <f t="shared" si="29"/>
        <v>0</v>
      </c>
      <c r="Z104" s="187">
        <f t="shared" si="30"/>
        <v>0</v>
      </c>
      <c r="AA104" s="183">
        <f t="shared" si="31"/>
        <v>0</v>
      </c>
      <c r="AB104" s="187">
        <f t="shared" si="32"/>
        <v>0</v>
      </c>
      <c r="AC104" s="183">
        <f t="shared" si="33"/>
        <v>0</v>
      </c>
      <c r="AD104" s="188">
        <f t="shared" si="34"/>
        <v>2.9861111113859806E-2</v>
      </c>
      <c r="AE104" s="188">
        <f t="shared" si="35"/>
        <v>0</v>
      </c>
      <c r="AF104" s="188">
        <f t="shared" si="36"/>
        <v>2.9861111113859806E-2</v>
      </c>
      <c r="AG104" s="188">
        <f t="shared" si="37"/>
        <v>0</v>
      </c>
    </row>
    <row r="105" spans="2:33" ht="15" customHeight="1" x14ac:dyDescent="0.15">
      <c r="B105" s="174" t="s">
        <v>7</v>
      </c>
      <c r="C105" s="175" t="s">
        <v>13</v>
      </c>
      <c r="D105" s="176" t="str">
        <f t="shared" si="19"/>
        <v>C</v>
      </c>
      <c r="E105" s="177" t="d">
        <v>2021-11-19T11:45:00.00000020954757600</v>
      </c>
      <c r="F105" s="178" t="s">
        <v>102</v>
      </c>
      <c r="G105" s="179">
        <v>153.149</v>
      </c>
      <c r="H105" s="179">
        <v>153.44900000000001</v>
      </c>
      <c r="I105" s="180">
        <f t="shared" si="20"/>
        <v>0.30000000000001137</v>
      </c>
      <c r="J105" s="179">
        <v>151.547</v>
      </c>
      <c r="K105" s="177" t="d">
        <v>2021-11-19T12:40:59.99999984633177850</v>
      </c>
      <c r="L105" s="179">
        <v>153.11000000000001</v>
      </c>
      <c r="M105" s="181">
        <f t="shared" si="21"/>
        <v>3.9E-2</v>
      </c>
      <c r="N105" s="182">
        <f t="shared" si="22"/>
        <v>0.13</v>
      </c>
      <c r="O105" s="183">
        <f t="shared" si="23"/>
        <v>0</v>
      </c>
      <c r="P105" s="184">
        <f t="shared" si="24"/>
        <v>0.13</v>
      </c>
      <c r="Q105" s="184">
        <f t="shared" si="25"/>
        <v>0</v>
      </c>
      <c r="R10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59202.5</v>
      </c>
      <c r="T10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105" s="186">
        <f ca="1">IF(Tabla33610673[[#This Row],[Equity]]&lt;Tabla33610673[[#This Row],[Equity Peak]],(Tabla33610673[[#This Row],[Equity Peak]]-Tabla33610673[[#This Row],[Equity]])/Tabla33610673[[#This Row],[Equity Peak]],"")</f>
        <v>1.3127187864644107E-2</v>
      </c>
      <c r="V105" s="187">
        <f t="shared" si="26"/>
        <v>0.13</v>
      </c>
      <c r="W105" s="187">
        <f t="shared" si="27"/>
        <v>0</v>
      </c>
      <c r="X105" s="187">
        <f t="shared" si="28"/>
        <v>0</v>
      </c>
      <c r="Y105" s="187">
        <f t="shared" si="29"/>
        <v>0</v>
      </c>
      <c r="Z105" s="187">
        <f t="shared" si="30"/>
        <v>0</v>
      </c>
      <c r="AA105" s="183">
        <f t="shared" si="31"/>
        <v>0</v>
      </c>
      <c r="AB105" s="187">
        <f t="shared" si="32"/>
        <v>0</v>
      </c>
      <c r="AC105" s="183">
        <f t="shared" si="33"/>
        <v>0</v>
      </c>
      <c r="AD105" s="188">
        <f t="shared" si="34"/>
        <v>3.8888888884685002E-2</v>
      </c>
      <c r="AE105" s="188">
        <f t="shared" si="35"/>
        <v>3.8888888884685002E-2</v>
      </c>
      <c r="AF105" s="188">
        <f t="shared" si="36"/>
        <v>0</v>
      </c>
      <c r="AG105" s="188">
        <f t="shared" si="37"/>
        <v>0</v>
      </c>
    </row>
    <row r="106" spans="2:33" ht="15" customHeight="1" x14ac:dyDescent="0.15">
      <c r="B106" s="174" t="s">
        <v>5</v>
      </c>
      <c r="C106" s="175" t="s">
        <v>15</v>
      </c>
      <c r="D106" s="176" t="str">
        <f t="shared" si="19"/>
        <v>C</v>
      </c>
      <c r="E106" s="177" t="d">
        <v>2021-11-19T00:59:59.99999979045242400</v>
      </c>
      <c r="F106" s="178" t="s">
        <v>81</v>
      </c>
      <c r="G106" s="179">
        <v>16502.8</v>
      </c>
      <c r="H106" s="179">
        <v>16456.52</v>
      </c>
      <c r="I106" s="180">
        <f t="shared" si="20"/>
        <v>46.279999999998836</v>
      </c>
      <c r="J106" s="179">
        <v>16780.46</v>
      </c>
      <c r="K106" s="177" t="d">
        <v>2021-11-19T11:58:00.00000023748725325</v>
      </c>
      <c r="L106" s="179">
        <v>16537.650000000001</v>
      </c>
      <c r="M106" s="181">
        <f t="shared" si="21"/>
        <v>34.85</v>
      </c>
      <c r="N106" s="182">
        <f t="shared" si="22"/>
        <v>0.75</v>
      </c>
      <c r="O106" s="183">
        <f t="shared" si="23"/>
        <v>0</v>
      </c>
      <c r="P106" s="184">
        <f t="shared" si="24"/>
        <v>0.75</v>
      </c>
      <c r="Q106" s="184">
        <f t="shared" si="25"/>
        <v>0</v>
      </c>
      <c r="R10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59170</v>
      </c>
      <c r="T10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106" s="186">
        <f ca="1">IF(Tabla33610673[[#This Row],[Equity]]&lt;Tabla33610673[[#This Row],[Equity Peak]],(Tabla33610673[[#This Row],[Equity Peak]]-Tabla33610673[[#This Row],[Equity]])/Tabla33610673[[#This Row],[Equity Peak]],"")</f>
        <v>1.3668944824137356E-2</v>
      </c>
      <c r="V106" s="187">
        <f t="shared" si="26"/>
        <v>0</v>
      </c>
      <c r="W106" s="187">
        <f t="shared" si="27"/>
        <v>0</v>
      </c>
      <c r="X106" s="187">
        <f t="shared" si="28"/>
        <v>0</v>
      </c>
      <c r="Y106" s="187">
        <f t="shared" si="29"/>
        <v>0</v>
      </c>
      <c r="Z106" s="187">
        <f t="shared" si="30"/>
        <v>0.75</v>
      </c>
      <c r="AA106" s="183">
        <f t="shared" si="31"/>
        <v>0</v>
      </c>
      <c r="AB106" s="187">
        <f t="shared" si="32"/>
        <v>0</v>
      </c>
      <c r="AC106" s="183">
        <f t="shared" si="33"/>
        <v>0</v>
      </c>
      <c r="AD106" s="188">
        <f t="shared" si="34"/>
        <v>0.45694444444961846</v>
      </c>
      <c r="AE106" s="188">
        <f t="shared" si="35"/>
        <v>0.45694444444961846</v>
      </c>
      <c r="AF106" s="188">
        <f t="shared" si="36"/>
        <v>0</v>
      </c>
      <c r="AG106" s="188">
        <f t="shared" si="37"/>
        <v>0</v>
      </c>
    </row>
    <row r="107" spans="2:33" ht="15" customHeight="1" x14ac:dyDescent="0.15">
      <c r="B107" s="174" t="s">
        <v>5</v>
      </c>
      <c r="C107" s="175" t="s">
        <v>15</v>
      </c>
      <c r="D107" s="176" t="str">
        <f t="shared" si="19"/>
        <v>C</v>
      </c>
      <c r="E107" s="177" t="d">
        <v>2021-11-19T00:59:59.99999979045242400</v>
      </c>
      <c r="F107" s="178" t="s">
        <v>82</v>
      </c>
      <c r="G107" s="179">
        <v>4708.96</v>
      </c>
      <c r="H107" s="179">
        <v>4696.5200000000004</v>
      </c>
      <c r="I107" s="180">
        <f t="shared" si="20"/>
        <v>12.4399999999996</v>
      </c>
      <c r="J107" s="179">
        <v>4789.84</v>
      </c>
      <c r="K107" s="177" t="d">
        <v>2021-11-19T11:39:00.00000029336660775</v>
      </c>
      <c r="L107" s="179">
        <v>4712.03</v>
      </c>
      <c r="M107" s="181">
        <f t="shared" si="21"/>
        <v>3.07</v>
      </c>
      <c r="N107" s="182">
        <f t="shared" si="22"/>
        <v>0.25</v>
      </c>
      <c r="O107" s="183">
        <f t="shared" si="23"/>
        <v>0</v>
      </c>
      <c r="P107" s="184">
        <f t="shared" si="24"/>
        <v>0.25</v>
      </c>
      <c r="Q107" s="184">
        <f t="shared" si="25"/>
        <v>0</v>
      </c>
      <c r="R10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58982.5</v>
      </c>
      <c r="T10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107" s="186">
        <f ca="1">IF(Tabla33610673[[#This Row],[Equity]]&lt;Tabla33610673[[#This Row],[Equity Peak]],(Tabla33610673[[#This Row],[Equity Peak]]-Tabla33610673[[#This Row],[Equity]])/Tabla33610673[[#This Row],[Equity Peak]],"")</f>
        <v>1.6794465744290714E-2</v>
      </c>
      <c r="V107" s="187">
        <f t="shared" si="26"/>
        <v>0</v>
      </c>
      <c r="W107" s="187">
        <f t="shared" si="27"/>
        <v>0</v>
      </c>
      <c r="X107" s="187">
        <f t="shared" si="28"/>
        <v>0</v>
      </c>
      <c r="Y107" s="187">
        <f t="shared" si="29"/>
        <v>0</v>
      </c>
      <c r="Z107" s="187">
        <f t="shared" si="30"/>
        <v>0.25</v>
      </c>
      <c r="AA107" s="183">
        <f t="shared" si="31"/>
        <v>0</v>
      </c>
      <c r="AB107" s="187">
        <f t="shared" si="32"/>
        <v>0</v>
      </c>
      <c r="AC107" s="183">
        <f t="shared" si="33"/>
        <v>0</v>
      </c>
      <c r="AD107" s="188">
        <f t="shared" si="34"/>
        <v>0.44375000000582077</v>
      </c>
      <c r="AE107" s="188">
        <f t="shared" si="35"/>
        <v>0.44375000000582077</v>
      </c>
      <c r="AF107" s="188">
        <f t="shared" si="36"/>
        <v>0</v>
      </c>
      <c r="AG107" s="188">
        <f t="shared" si="37"/>
        <v>0</v>
      </c>
    </row>
    <row r="108" spans="2:33" ht="15" customHeight="1" x14ac:dyDescent="0.15">
      <c r="B108" s="174" t="s">
        <v>19</v>
      </c>
      <c r="C108" s="175" t="s">
        <v>13</v>
      </c>
      <c r="D108" s="176" t="str">
        <f t="shared" si="19"/>
        <v>C</v>
      </c>
      <c r="E108" s="177" t="d">
        <v>2021-11-19T11:00:00.00000020954757600</v>
      </c>
      <c r="F108" s="178" t="s">
        <v>77</v>
      </c>
      <c r="G108" s="179">
        <v>1853.83</v>
      </c>
      <c r="H108" s="179">
        <v>1858.74</v>
      </c>
      <c r="I108" s="180">
        <f t="shared" si="20"/>
        <v>4.9100000000000819</v>
      </c>
      <c r="J108" s="179">
        <v>1830.26</v>
      </c>
      <c r="K108" s="177" t="d">
        <v>2021-11-19T11:26:59.99999983236193650</v>
      </c>
      <c r="L108" s="179">
        <v>1858.74</v>
      </c>
      <c r="M108" s="181">
        <f t="shared" si="21"/>
        <v>-4.91</v>
      </c>
      <c r="N108" s="182">
        <f t="shared" si="22"/>
        <v>-1</v>
      </c>
      <c r="O108" s="183">
        <f t="shared" si="23"/>
        <v>0</v>
      </c>
      <c r="P108" s="184">
        <f t="shared" si="24"/>
        <v>0</v>
      </c>
      <c r="Q108" s="184">
        <f t="shared" si="25"/>
        <v>-1</v>
      </c>
      <c r="R10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58920</v>
      </c>
      <c r="T10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108" s="186">
        <f ca="1">IF(Tabla33610673[[#This Row],[Equity]]&lt;Tabla33610673[[#This Row],[Equity Peak]],(Tabla33610673[[#This Row],[Equity Peak]]-Tabla33610673[[#This Row],[Equity]])/Tabla33610673[[#This Row],[Equity Peak]],"")</f>
        <v>1.7836306051008503E-2</v>
      </c>
      <c r="V108" s="187">
        <f t="shared" si="26"/>
        <v>0</v>
      </c>
      <c r="W108" s="187">
        <f t="shared" si="27"/>
        <v>0</v>
      </c>
      <c r="X108" s="187">
        <f t="shared" si="28"/>
        <v>-1</v>
      </c>
      <c r="Y108" s="187">
        <f t="shared" si="29"/>
        <v>0</v>
      </c>
      <c r="Z108" s="187">
        <f t="shared" si="30"/>
        <v>0</v>
      </c>
      <c r="AA108" s="183">
        <f t="shared" si="31"/>
        <v>0</v>
      </c>
      <c r="AB108" s="187">
        <f t="shared" si="32"/>
        <v>0</v>
      </c>
      <c r="AC108" s="183">
        <f t="shared" si="33"/>
        <v>0</v>
      </c>
      <c r="AD108" s="188">
        <f t="shared" si="34"/>
        <v>1.8749999995634425E-2</v>
      </c>
      <c r="AE108" s="188">
        <f t="shared" si="35"/>
        <v>0</v>
      </c>
      <c r="AF108" s="188">
        <f t="shared" si="36"/>
        <v>1.8749999995634425E-2</v>
      </c>
      <c r="AG108" s="188">
        <f t="shared" si="37"/>
        <v>0</v>
      </c>
    </row>
    <row r="109" spans="2:33" ht="15" customHeight="1" x14ac:dyDescent="0.15">
      <c r="B109" s="174" t="s">
        <v>5</v>
      </c>
      <c r="C109" s="175" t="s">
        <v>15</v>
      </c>
      <c r="D109" s="176" t="str">
        <f t="shared" si="19"/>
        <v>C</v>
      </c>
      <c r="E109" s="177" t="d">
        <v>2021-11-19T08:45:00.00000020954757600</v>
      </c>
      <c r="F109" s="178" t="s">
        <v>80</v>
      </c>
      <c r="G109" s="179">
        <v>16298.99</v>
      </c>
      <c r="H109" s="179">
        <v>16269.45</v>
      </c>
      <c r="I109" s="180">
        <f t="shared" si="20"/>
        <v>29.539999999999054</v>
      </c>
      <c r="J109" s="179">
        <v>16515.62</v>
      </c>
      <c r="K109" s="177" t="d">
        <v>2021-11-19T09:59:00.00000022351741800</v>
      </c>
      <c r="L109" s="179">
        <v>16269.45</v>
      </c>
      <c r="M109" s="181">
        <f t="shared" si="21"/>
        <v>-29.54</v>
      </c>
      <c r="N109" s="182">
        <f t="shared" si="22"/>
        <v>-1</v>
      </c>
      <c r="O109" s="183">
        <f t="shared" si="23"/>
        <v>0</v>
      </c>
      <c r="P109" s="184">
        <f t="shared" si="24"/>
        <v>0</v>
      </c>
      <c r="Q109" s="184">
        <f t="shared" si="25"/>
        <v>-1</v>
      </c>
      <c r="R10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59170</v>
      </c>
      <c r="T10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109" s="186">
        <f ca="1">IF(Tabla33610673[[#This Row],[Equity]]&lt;Tabla33610673[[#This Row],[Equity Peak]],(Tabla33610673[[#This Row],[Equity Peak]]-Tabla33610673[[#This Row],[Equity]])/Tabla33610673[[#This Row],[Equity Peak]],"")</f>
        <v>1.3668944824137356E-2</v>
      </c>
      <c r="V109" s="187">
        <f t="shared" si="26"/>
        <v>0</v>
      </c>
      <c r="W109" s="187">
        <f t="shared" si="27"/>
        <v>0</v>
      </c>
      <c r="X109" s="187">
        <f t="shared" si="28"/>
        <v>0</v>
      </c>
      <c r="Y109" s="187">
        <f t="shared" si="29"/>
        <v>0</v>
      </c>
      <c r="Z109" s="187">
        <f t="shared" si="30"/>
        <v>-1</v>
      </c>
      <c r="AA109" s="183">
        <f t="shared" si="31"/>
        <v>0</v>
      </c>
      <c r="AB109" s="187">
        <f t="shared" si="32"/>
        <v>0</v>
      </c>
      <c r="AC109" s="183">
        <f t="shared" si="33"/>
        <v>0</v>
      </c>
      <c r="AD109" s="188">
        <f t="shared" si="34"/>
        <v>5.1388888889050577E-2</v>
      </c>
      <c r="AE109" s="188">
        <f t="shared" si="35"/>
        <v>0</v>
      </c>
      <c r="AF109" s="188">
        <f t="shared" si="36"/>
        <v>5.1388888889050577E-2</v>
      </c>
      <c r="AG109" s="188">
        <f t="shared" si="37"/>
        <v>0</v>
      </c>
    </row>
    <row r="110" spans="2:33" ht="15" customHeight="1" x14ac:dyDescent="0.15">
      <c r="B110" s="174" t="s">
        <v>5</v>
      </c>
      <c r="C110" s="175" t="s">
        <v>15</v>
      </c>
      <c r="D110" s="176" t="str">
        <f t="shared" si="19"/>
        <v>C</v>
      </c>
      <c r="E110" s="177" t="d">
        <v>2021-11-18T18:45:00.000</v>
      </c>
      <c r="F110" s="178" t="s">
        <v>81</v>
      </c>
      <c r="G110" s="179">
        <v>16459.669999999998</v>
      </c>
      <c r="H110" s="179">
        <v>16414.11</v>
      </c>
      <c r="I110" s="180">
        <f t="shared" si="20"/>
        <v>45.559999999997672</v>
      </c>
      <c r="J110" s="179">
        <v>16733</v>
      </c>
      <c r="K110" s="177" t="d">
        <v>2021-11-18T21:02:59.9999999580904875</v>
      </c>
      <c r="L110" s="179">
        <v>16418.689999999999</v>
      </c>
      <c r="M110" s="181">
        <f t="shared" si="21"/>
        <v>-40.98</v>
      </c>
      <c r="N110" s="182">
        <f t="shared" si="22"/>
        <v>-0.9</v>
      </c>
      <c r="O110" s="183">
        <f t="shared" si="23"/>
        <v>0</v>
      </c>
      <c r="P110" s="184">
        <f t="shared" si="24"/>
        <v>0</v>
      </c>
      <c r="Q110" s="184">
        <f t="shared" si="25"/>
        <v>-0.9</v>
      </c>
      <c r="R11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59420</v>
      </c>
      <c r="T11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110" s="186">
        <f ca="1">IF(Tabla33610673[[#This Row],[Equity]]&lt;Tabla33610673[[#This Row],[Equity Peak]],(Tabla33610673[[#This Row],[Equity Peak]]-Tabla33610673[[#This Row],[Equity]])/Tabla33610673[[#This Row],[Equity Peak]],"")</f>
        <v>9.5015835972662114E-3</v>
      </c>
      <c r="V110" s="187">
        <f t="shared" si="26"/>
        <v>0</v>
      </c>
      <c r="W110" s="187">
        <f t="shared" si="27"/>
        <v>0</v>
      </c>
      <c r="X110" s="187">
        <f t="shared" si="28"/>
        <v>0</v>
      </c>
      <c r="Y110" s="187">
        <f t="shared" si="29"/>
        <v>0</v>
      </c>
      <c r="Z110" s="187">
        <f t="shared" si="30"/>
        <v>-0.9</v>
      </c>
      <c r="AA110" s="183">
        <f t="shared" si="31"/>
        <v>0</v>
      </c>
      <c r="AB110" s="187">
        <f t="shared" si="32"/>
        <v>0</v>
      </c>
      <c r="AC110" s="183">
        <f t="shared" si="33"/>
        <v>0</v>
      </c>
      <c r="AD110" s="188">
        <f t="shared" si="34"/>
        <v>9.5833333332848269E-2</v>
      </c>
      <c r="AE110" s="188">
        <f t="shared" si="35"/>
        <v>0</v>
      </c>
      <c r="AF110" s="188">
        <f t="shared" si="36"/>
        <v>9.5833333332848269E-2</v>
      </c>
      <c r="AG110" s="188">
        <f t="shared" si="37"/>
        <v>0</v>
      </c>
    </row>
    <row r="111" spans="2:33" ht="15" customHeight="1" x14ac:dyDescent="0.15">
      <c r="B111" s="174" t="s">
        <v>5</v>
      </c>
      <c r="C111" s="175" t="s">
        <v>13</v>
      </c>
      <c r="D111" s="176" t="str">
        <f t="shared" si="19"/>
        <v>C</v>
      </c>
      <c r="E111" s="177" t="d">
        <v>2021-11-18T17:15:00.000</v>
      </c>
      <c r="F111" s="178" t="s">
        <v>82</v>
      </c>
      <c r="G111" s="179">
        <v>4678.03</v>
      </c>
      <c r="H111" s="179">
        <v>4689.72</v>
      </c>
      <c r="I111" s="180">
        <f t="shared" si="20"/>
        <v>11.690000000000509</v>
      </c>
      <c r="J111" s="179">
        <v>4602.03</v>
      </c>
      <c r="K111" s="177" t="d">
        <v>2021-11-18T18:13:00.00000002793967725</v>
      </c>
      <c r="L111" s="179">
        <v>4687.3</v>
      </c>
      <c r="M111" s="181">
        <f t="shared" si="21"/>
        <v>-9.27</v>
      </c>
      <c r="N111" s="182">
        <f t="shared" si="22"/>
        <v>-0.79</v>
      </c>
      <c r="O111" s="183">
        <f t="shared" si="23"/>
        <v>0</v>
      </c>
      <c r="P111" s="184">
        <f t="shared" si="24"/>
        <v>0</v>
      </c>
      <c r="Q111" s="184">
        <f t="shared" si="25"/>
        <v>-0.79</v>
      </c>
      <c r="R11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59645</v>
      </c>
      <c r="T11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111" s="186">
        <f ca="1">IF(Tabla33610673[[#This Row],[Equity]]&lt;Tabla33610673[[#This Row],[Equity Peak]],(Tabla33610673[[#This Row],[Equity Peak]]-Tabla33610673[[#This Row],[Equity]])/Tabla33610673[[#This Row],[Equity Peak]],"")</f>
        <v>5.7509584930821806E-3</v>
      </c>
      <c r="V111" s="187">
        <f t="shared" si="26"/>
        <v>0</v>
      </c>
      <c r="W111" s="187">
        <f t="shared" si="27"/>
        <v>0</v>
      </c>
      <c r="X111" s="187">
        <f t="shared" si="28"/>
        <v>0</v>
      </c>
      <c r="Y111" s="187">
        <f t="shared" si="29"/>
        <v>0</v>
      </c>
      <c r="Z111" s="187">
        <f t="shared" si="30"/>
        <v>-0.79</v>
      </c>
      <c r="AA111" s="183">
        <f t="shared" si="31"/>
        <v>0</v>
      </c>
      <c r="AB111" s="187">
        <f t="shared" si="32"/>
        <v>0</v>
      </c>
      <c r="AC111" s="183">
        <f t="shared" si="33"/>
        <v>0</v>
      </c>
      <c r="AD111" s="188">
        <f t="shared" si="34"/>
        <v>4.0277777778101154E-2</v>
      </c>
      <c r="AE111" s="188">
        <f t="shared" si="35"/>
        <v>0</v>
      </c>
      <c r="AF111" s="188">
        <f t="shared" si="36"/>
        <v>4.0277777778101154E-2</v>
      </c>
      <c r="AG111" s="188">
        <f t="shared" si="37"/>
        <v>0</v>
      </c>
    </row>
    <row r="112" spans="2:33" ht="15" customHeight="1" x14ac:dyDescent="0.15">
      <c r="B112" s="174" t="s">
        <v>5</v>
      </c>
      <c r="C112" s="175" t="s">
        <v>15</v>
      </c>
      <c r="D112" s="176" t="str">
        <f t="shared" si="19"/>
        <v>C</v>
      </c>
      <c r="E112" s="177" t="d">
        <v>2021-11-18T10:30:00.000</v>
      </c>
      <c r="F112" s="178" t="s">
        <v>82</v>
      </c>
      <c r="G112" s="179">
        <v>4701.55</v>
      </c>
      <c r="H112" s="179">
        <v>4689.97</v>
      </c>
      <c r="I112" s="180">
        <f t="shared" si="20"/>
        <v>11.579999999999927</v>
      </c>
      <c r="J112" s="179">
        <v>4776.82</v>
      </c>
      <c r="K112" s="177" t="d">
        <v>2021-11-18T16:31:59.99999976251274675</v>
      </c>
      <c r="L112" s="179">
        <v>4694.6899999999996</v>
      </c>
      <c r="M112" s="181">
        <f t="shared" si="21"/>
        <v>-6.86</v>
      </c>
      <c r="N112" s="182">
        <f t="shared" si="22"/>
        <v>-0.59</v>
      </c>
      <c r="O112" s="183">
        <f t="shared" si="23"/>
        <v>0</v>
      </c>
      <c r="P112" s="184">
        <f t="shared" si="24"/>
        <v>0</v>
      </c>
      <c r="Q112" s="184">
        <f t="shared" si="25"/>
        <v>-0.59</v>
      </c>
      <c r="R11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59842.5</v>
      </c>
      <c r="T11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112" s="186">
        <f ca="1">IF(Tabla33610673[[#This Row],[Equity]]&lt;Tabla33610673[[#This Row],[Equity Peak]],(Tabla33610673[[#This Row],[Equity Peak]]-Tabla33610673[[#This Row],[Equity]])/Tabla33610673[[#This Row],[Equity Peak]],"")</f>
        <v>2.4587431238539755E-3</v>
      </c>
      <c r="V112" s="187">
        <f t="shared" si="26"/>
        <v>0</v>
      </c>
      <c r="W112" s="187">
        <f t="shared" si="27"/>
        <v>0</v>
      </c>
      <c r="X112" s="187">
        <f t="shared" si="28"/>
        <v>0</v>
      </c>
      <c r="Y112" s="187">
        <f t="shared" si="29"/>
        <v>0</v>
      </c>
      <c r="Z112" s="187">
        <f t="shared" si="30"/>
        <v>-0.59</v>
      </c>
      <c r="AA112" s="183">
        <f t="shared" si="31"/>
        <v>0</v>
      </c>
      <c r="AB112" s="187">
        <f t="shared" si="32"/>
        <v>0</v>
      </c>
      <c r="AC112" s="183">
        <f t="shared" si="33"/>
        <v>0</v>
      </c>
      <c r="AD112" s="188">
        <f t="shared" si="34"/>
        <v>0.25138888888614019</v>
      </c>
      <c r="AE112" s="188">
        <f t="shared" si="35"/>
        <v>0</v>
      </c>
      <c r="AF112" s="188">
        <f t="shared" si="36"/>
        <v>0.25138888888614019</v>
      </c>
      <c r="AG112" s="188">
        <f t="shared" si="37"/>
        <v>0</v>
      </c>
    </row>
    <row r="113" spans="2:33" ht="15" customHeight="1" x14ac:dyDescent="0.15">
      <c r="B113" s="174" t="s">
        <v>5</v>
      </c>
      <c r="C113" s="175" t="s">
        <v>15</v>
      </c>
      <c r="D113" s="176" t="str">
        <f t="shared" si="19"/>
        <v>C</v>
      </c>
      <c r="E113" s="177" t="d">
        <v>2021-11-16T09:30:00.00000020954757600</v>
      </c>
      <c r="F113" s="178" t="s">
        <v>80</v>
      </c>
      <c r="G113" s="179">
        <v>16168.73</v>
      </c>
      <c r="H113" s="179">
        <v>16139.88</v>
      </c>
      <c r="I113" s="180">
        <f t="shared" si="20"/>
        <v>28.850000000000364</v>
      </c>
      <c r="J113" s="179">
        <v>16380.29</v>
      </c>
      <c r="K113" s="177" t="d">
        <v>2021-11-18T12:01:00.00000019557774075</v>
      </c>
      <c r="L113" s="179">
        <v>16243.39</v>
      </c>
      <c r="M113" s="181">
        <f t="shared" si="21"/>
        <v>74.66</v>
      </c>
      <c r="N113" s="182">
        <f t="shared" si="22"/>
        <v>2.59</v>
      </c>
      <c r="O113" s="183">
        <f t="shared" si="23"/>
        <v>0</v>
      </c>
      <c r="P113" s="184">
        <f t="shared" si="24"/>
        <v>2.59</v>
      </c>
      <c r="Q113" s="184">
        <f t="shared" si="25"/>
        <v>0</v>
      </c>
      <c r="R11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59990</v>
      </c>
      <c r="T11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59990</v>
      </c>
      <c r="U113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113" s="187">
        <f t="shared" si="26"/>
        <v>0</v>
      </c>
      <c r="W113" s="187">
        <f t="shared" si="27"/>
        <v>0</v>
      </c>
      <c r="X113" s="187">
        <f t="shared" si="28"/>
        <v>0</v>
      </c>
      <c r="Y113" s="187">
        <f t="shared" si="29"/>
        <v>0</v>
      </c>
      <c r="Z113" s="187">
        <f t="shared" si="30"/>
        <v>2.59</v>
      </c>
      <c r="AA113" s="183">
        <f t="shared" si="31"/>
        <v>0</v>
      </c>
      <c r="AB113" s="187">
        <f t="shared" si="32"/>
        <v>0</v>
      </c>
      <c r="AC113" s="183">
        <f t="shared" si="33"/>
        <v>0</v>
      </c>
      <c r="AD113" s="188">
        <f t="shared" si="34"/>
        <v>2.1048611111109494</v>
      </c>
      <c r="AE113" s="188">
        <f t="shared" si="35"/>
        <v>2.1048611111109494</v>
      </c>
      <c r="AF113" s="188">
        <f t="shared" si="36"/>
        <v>0</v>
      </c>
      <c r="AG113" s="188">
        <f t="shared" si="37"/>
        <v>0</v>
      </c>
    </row>
    <row r="114" spans="2:33" ht="15" customHeight="1" x14ac:dyDescent="0.15">
      <c r="B114" s="174" t="s">
        <v>19</v>
      </c>
      <c r="C114" s="175" t="s">
        <v>15</v>
      </c>
      <c r="D114" s="176" t="str">
        <f t="shared" si="19"/>
        <v>C</v>
      </c>
      <c r="E114" s="177" t="d">
        <v>2021-11-17T09:30:00.00000020954757600</v>
      </c>
      <c r="F114" s="178" t="s">
        <v>77</v>
      </c>
      <c r="G114" s="179">
        <v>1857.22</v>
      </c>
      <c r="H114" s="179">
        <v>1851.91</v>
      </c>
      <c r="I114" s="180">
        <f t="shared" si="20"/>
        <v>5.3099999999999454</v>
      </c>
      <c r="J114" s="179">
        <v>1882.7</v>
      </c>
      <c r="K114" s="177" t="d">
        <v>2021-11-18T05:06:59.99999969266355025</v>
      </c>
      <c r="L114" s="179">
        <v>1864.85</v>
      </c>
      <c r="M114" s="181">
        <f t="shared" si="21"/>
        <v>7.63</v>
      </c>
      <c r="N114" s="182">
        <f t="shared" si="22"/>
        <v>1.44</v>
      </c>
      <c r="O114" s="183">
        <f t="shared" si="23"/>
        <v>0</v>
      </c>
      <c r="P114" s="184">
        <f t="shared" si="24"/>
        <v>1.44</v>
      </c>
      <c r="Q114" s="184">
        <f t="shared" si="25"/>
        <v>0</v>
      </c>
      <c r="R11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59342.5</v>
      </c>
      <c r="T11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59452.5</v>
      </c>
      <c r="U114" s="186">
        <f ca="1">IF(Tabla33610673[[#This Row],[Equity]]&lt;Tabla33610673[[#This Row],[Equity Peak]],(Tabla33610673[[#This Row],[Equity Peak]]-Tabla33610673[[#This Row],[Equity]])/Tabla33610673[[#This Row],[Equity Peak]],"")</f>
        <v>1.8502165594382069E-3</v>
      </c>
      <c r="V114" s="187">
        <f t="shared" si="26"/>
        <v>0</v>
      </c>
      <c r="W114" s="187">
        <f t="shared" si="27"/>
        <v>0</v>
      </c>
      <c r="X114" s="187">
        <f t="shared" si="28"/>
        <v>1.44</v>
      </c>
      <c r="Y114" s="187">
        <f t="shared" si="29"/>
        <v>0</v>
      </c>
      <c r="Z114" s="187">
        <f t="shared" si="30"/>
        <v>0</v>
      </c>
      <c r="AA114" s="183">
        <f t="shared" si="31"/>
        <v>0</v>
      </c>
      <c r="AB114" s="187">
        <f t="shared" si="32"/>
        <v>0</v>
      </c>
      <c r="AC114" s="183">
        <f t="shared" si="33"/>
        <v>0</v>
      </c>
      <c r="AD114" s="188">
        <f t="shared" si="34"/>
        <v>0.81736111110512866</v>
      </c>
      <c r="AE114" s="188">
        <f t="shared" si="35"/>
        <v>0.81736111110512866</v>
      </c>
      <c r="AF114" s="188">
        <f t="shared" si="36"/>
        <v>0</v>
      </c>
      <c r="AG114" s="188">
        <f t="shared" si="37"/>
        <v>0</v>
      </c>
    </row>
    <row r="115" spans="2:33" ht="15" customHeight="1" x14ac:dyDescent="0.15">
      <c r="B115" s="174" t="s">
        <v>5</v>
      </c>
      <c r="C115" s="175" t="s">
        <v>15</v>
      </c>
      <c r="D115" s="176" t="str">
        <f t="shared" si="19"/>
        <v>C</v>
      </c>
      <c r="E115" s="177" t="d">
        <v>2021-11-16T18:14:59.99999979045242400</v>
      </c>
      <c r="F115" s="178" t="s">
        <v>81</v>
      </c>
      <c r="G115" s="179">
        <v>16287.13</v>
      </c>
      <c r="H115" s="179">
        <v>16237.31</v>
      </c>
      <c r="I115" s="180">
        <f t="shared" si="20"/>
        <v>49.819999999999709</v>
      </c>
      <c r="J115" s="179">
        <v>16586.080000000002</v>
      </c>
      <c r="K115" s="177" t="d">
        <v>2021-11-17T19:18:00.00000016763806350</v>
      </c>
      <c r="L115" s="179">
        <v>16343.22</v>
      </c>
      <c r="M115" s="181">
        <f t="shared" si="21"/>
        <v>56.09</v>
      </c>
      <c r="N115" s="182">
        <f t="shared" si="22"/>
        <v>1.1299999999999999</v>
      </c>
      <c r="O115" s="183">
        <f t="shared" si="23"/>
        <v>0</v>
      </c>
      <c r="P115" s="184">
        <f t="shared" si="24"/>
        <v>1.1299999999999999</v>
      </c>
      <c r="Q115" s="184">
        <f t="shared" si="25"/>
        <v>0</v>
      </c>
      <c r="R11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58982.5</v>
      </c>
      <c r="T11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59452.5</v>
      </c>
      <c r="U115" s="186">
        <f ca="1">IF(Tabla33610673[[#This Row],[Equity]]&lt;Tabla33610673[[#This Row],[Equity Peak]],(Tabla33610673[[#This Row],[Equity Peak]]-Tabla33610673[[#This Row],[Equity]])/Tabla33610673[[#This Row],[Equity Peak]],"")</f>
        <v>7.9054707539632472E-3</v>
      </c>
      <c r="V115" s="187">
        <f t="shared" si="26"/>
        <v>0</v>
      </c>
      <c r="W115" s="187">
        <f t="shared" si="27"/>
        <v>0</v>
      </c>
      <c r="X115" s="187">
        <f t="shared" si="28"/>
        <v>0</v>
      </c>
      <c r="Y115" s="187">
        <f t="shared" si="29"/>
        <v>0</v>
      </c>
      <c r="Z115" s="187">
        <f t="shared" si="30"/>
        <v>1.1299999999999999</v>
      </c>
      <c r="AA115" s="183">
        <f t="shared" si="31"/>
        <v>0</v>
      </c>
      <c r="AB115" s="187">
        <f t="shared" si="32"/>
        <v>0</v>
      </c>
      <c r="AC115" s="183">
        <f t="shared" si="33"/>
        <v>0</v>
      </c>
      <c r="AD115" s="188">
        <f t="shared" si="34"/>
        <v>1.0437500000043656</v>
      </c>
      <c r="AE115" s="188">
        <f t="shared" si="35"/>
        <v>1.0437500000043656</v>
      </c>
      <c r="AF115" s="188">
        <f t="shared" si="36"/>
        <v>0</v>
      </c>
      <c r="AG115" s="188">
        <f t="shared" si="37"/>
        <v>0</v>
      </c>
    </row>
    <row r="116" spans="2:33" ht="15" customHeight="1" x14ac:dyDescent="0.15">
      <c r="B116" s="174" t="s">
        <v>7</v>
      </c>
      <c r="C116" s="175" t="s">
        <v>15</v>
      </c>
      <c r="D116" s="176" t="str">
        <f t="shared" si="19"/>
        <v>C</v>
      </c>
      <c r="E116" s="177" t="d">
        <v>2021-11-16T03:45:00.000</v>
      </c>
      <c r="F116" s="178" t="s">
        <v>102</v>
      </c>
      <c r="G116" s="179">
        <v>153.32400000000001</v>
      </c>
      <c r="H116" s="179">
        <v>153.05799999999999</v>
      </c>
      <c r="I116" s="180">
        <f t="shared" si="20"/>
        <v>0.26600000000001955</v>
      </c>
      <c r="J116" s="179">
        <v>154.74199999999999</v>
      </c>
      <c r="K116" s="177" t="d">
        <v>2021-11-17T11:55:00.0000002793967725</v>
      </c>
      <c r="L116" s="179">
        <v>154.18199999999999</v>
      </c>
      <c r="M116" s="181">
        <f t="shared" si="21"/>
        <v>0.85799999999999998</v>
      </c>
      <c r="N116" s="182">
        <f t="shared" si="22"/>
        <v>3.23</v>
      </c>
      <c r="O116" s="183">
        <f t="shared" si="23"/>
        <v>0</v>
      </c>
      <c r="P116" s="184">
        <f t="shared" si="24"/>
        <v>3.23</v>
      </c>
      <c r="Q116" s="184">
        <f t="shared" si="25"/>
        <v>0</v>
      </c>
      <c r="R11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58700</v>
      </c>
      <c r="T11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59452.5</v>
      </c>
      <c r="U116" s="186">
        <f ca="1">IF(Tabla33610673[[#This Row],[Equity]]&lt;Tabla33610673[[#This Row],[Equity Peak]],(Tabla33610673[[#This Row],[Equity Peak]]-Tabla33610673[[#This Row],[Equity]])/Tabla33610673[[#This Row],[Equity Peak]],"")</f>
        <v>1.265716328161137E-2</v>
      </c>
      <c r="V116" s="187">
        <f t="shared" si="26"/>
        <v>3.23</v>
      </c>
      <c r="W116" s="187">
        <f t="shared" si="27"/>
        <v>0</v>
      </c>
      <c r="X116" s="187">
        <f t="shared" si="28"/>
        <v>0</v>
      </c>
      <c r="Y116" s="187">
        <f t="shared" si="29"/>
        <v>0</v>
      </c>
      <c r="Z116" s="187">
        <f t="shared" si="30"/>
        <v>0</v>
      </c>
      <c r="AA116" s="183">
        <f t="shared" si="31"/>
        <v>0</v>
      </c>
      <c r="AB116" s="187">
        <f t="shared" si="32"/>
        <v>0</v>
      </c>
      <c r="AC116" s="183">
        <f t="shared" si="33"/>
        <v>0</v>
      </c>
      <c r="AD116" s="188">
        <f t="shared" si="34"/>
        <v>1.3402777777810115</v>
      </c>
      <c r="AE116" s="188">
        <f t="shared" si="35"/>
        <v>1.3402777777810115</v>
      </c>
      <c r="AF116" s="188">
        <f t="shared" si="36"/>
        <v>0</v>
      </c>
      <c r="AG116" s="188">
        <f t="shared" si="37"/>
        <v>0</v>
      </c>
    </row>
    <row r="117" spans="2:33" ht="15" customHeight="1" x14ac:dyDescent="0.15">
      <c r="B117" s="174" t="s">
        <v>7</v>
      </c>
      <c r="C117" s="175" t="s">
        <v>15</v>
      </c>
      <c r="D117" s="176" t="str">
        <f t="shared" si="19"/>
        <v>C</v>
      </c>
      <c r="E117" s="177" t="d">
        <v>2021-11-16T16:15:00.00000020954757600</v>
      </c>
      <c r="F117" s="178" t="s">
        <v>103</v>
      </c>
      <c r="G117" s="179">
        <v>114.491</v>
      </c>
      <c r="H117" s="179">
        <v>114.307</v>
      </c>
      <c r="I117" s="180">
        <f t="shared" si="20"/>
        <v>0.1839999999999975</v>
      </c>
      <c r="J117" s="179">
        <v>115.648</v>
      </c>
      <c r="K117" s="177" t="d">
        <v>2021-11-17T03:27:59.99999981839210125</v>
      </c>
      <c r="L117" s="179">
        <v>114.7</v>
      </c>
      <c r="M117" s="181">
        <f t="shared" si="21"/>
        <v>0.20899999999999999</v>
      </c>
      <c r="N117" s="182">
        <f t="shared" si="22"/>
        <v>1.1399999999999999</v>
      </c>
      <c r="O117" s="183">
        <f t="shared" si="23"/>
        <v>0</v>
      </c>
      <c r="P117" s="184">
        <f t="shared" si="24"/>
        <v>1.1399999999999999</v>
      </c>
      <c r="Q117" s="184">
        <f t="shared" si="25"/>
        <v>0</v>
      </c>
      <c r="R11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57892.5</v>
      </c>
      <c r="T11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59452.5</v>
      </c>
      <c r="U117" s="186">
        <f ca="1">IF(Tabla33610673[[#This Row],[Equity]]&lt;Tabla33610673[[#This Row],[Equity Peak]],(Tabla33610673[[#This Row],[Equity Peak]]-Tabla33610673[[#This Row],[Equity]])/Tabla33610673[[#This Row],[Equity Peak]],"")</f>
        <v>2.6239434842941844E-2</v>
      </c>
      <c r="V117" s="187">
        <f t="shared" si="26"/>
        <v>1.1399999999999999</v>
      </c>
      <c r="W117" s="187">
        <f t="shared" si="27"/>
        <v>0</v>
      </c>
      <c r="X117" s="187">
        <f t="shared" si="28"/>
        <v>0</v>
      </c>
      <c r="Y117" s="187">
        <f t="shared" si="29"/>
        <v>0</v>
      </c>
      <c r="Z117" s="187">
        <f t="shared" si="30"/>
        <v>0</v>
      </c>
      <c r="AA117" s="183">
        <f t="shared" si="31"/>
        <v>0</v>
      </c>
      <c r="AB117" s="187">
        <f t="shared" si="32"/>
        <v>0</v>
      </c>
      <c r="AC117" s="183">
        <f t="shared" si="33"/>
        <v>0</v>
      </c>
      <c r="AD117" s="188">
        <f t="shared" si="34"/>
        <v>0.46736111110658385</v>
      </c>
      <c r="AE117" s="188">
        <f t="shared" si="35"/>
        <v>0.46736111110658385</v>
      </c>
      <c r="AF117" s="188">
        <f t="shared" si="36"/>
        <v>0</v>
      </c>
      <c r="AG117" s="188">
        <f t="shared" si="37"/>
        <v>0</v>
      </c>
    </row>
    <row r="118" spans="2:33" ht="15" customHeight="1" x14ac:dyDescent="0.15">
      <c r="B118" s="174" t="s">
        <v>5</v>
      </c>
      <c r="C118" s="175" t="s">
        <v>15</v>
      </c>
      <c r="D118" s="176" t="str">
        <f t="shared" si="19"/>
        <v>C</v>
      </c>
      <c r="E118" s="177" t="d">
        <v>2021-11-16T16:44:59.99999979045242400</v>
      </c>
      <c r="F118" s="178" t="s">
        <v>82</v>
      </c>
      <c r="G118" s="179">
        <v>4694.51</v>
      </c>
      <c r="H118" s="179">
        <v>4681.03</v>
      </c>
      <c r="I118" s="180">
        <f t="shared" si="20"/>
        <v>13.480000000000473</v>
      </c>
      <c r="J118" s="179">
        <v>4782.12</v>
      </c>
      <c r="K118" s="177" t="d">
        <v>2021-11-17T01:18:00.00000016763806350</v>
      </c>
      <c r="L118" s="179">
        <v>4698.37</v>
      </c>
      <c r="M118" s="181">
        <f t="shared" si="21"/>
        <v>3.86</v>
      </c>
      <c r="N118" s="182">
        <f t="shared" si="22"/>
        <v>0.28999999999999998</v>
      </c>
      <c r="O118" s="183">
        <f t="shared" si="23"/>
        <v>0</v>
      </c>
      <c r="P118" s="184">
        <f t="shared" si="24"/>
        <v>0.28999999999999998</v>
      </c>
      <c r="Q118" s="184">
        <f t="shared" si="25"/>
        <v>0</v>
      </c>
      <c r="R11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57607.5</v>
      </c>
      <c r="T11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59452.5</v>
      </c>
      <c r="U118" s="186">
        <f ca="1">IF(Tabla33610673[[#This Row],[Equity]]&lt;Tabla33610673[[#This Row],[Equity Peak]],(Tabla33610673[[#This Row],[Equity Peak]]-Tabla33610673[[#This Row],[Equity]])/Tabla33610673[[#This Row],[Equity Peak]],"")</f>
        <v>3.1033177746940834E-2</v>
      </c>
      <c r="V118" s="187">
        <f t="shared" si="26"/>
        <v>0</v>
      </c>
      <c r="W118" s="187">
        <f t="shared" si="27"/>
        <v>0</v>
      </c>
      <c r="X118" s="187">
        <f t="shared" si="28"/>
        <v>0</v>
      </c>
      <c r="Y118" s="187">
        <f t="shared" si="29"/>
        <v>0</v>
      </c>
      <c r="Z118" s="187">
        <f t="shared" si="30"/>
        <v>0.28999999999999998</v>
      </c>
      <c r="AA118" s="183">
        <f t="shared" si="31"/>
        <v>0</v>
      </c>
      <c r="AB118" s="187">
        <f t="shared" si="32"/>
        <v>0</v>
      </c>
      <c r="AC118" s="183">
        <f t="shared" si="33"/>
        <v>0</v>
      </c>
      <c r="AD118" s="188">
        <f t="shared" si="34"/>
        <v>0.35625000000436557</v>
      </c>
      <c r="AE118" s="188">
        <f t="shared" si="35"/>
        <v>0.35625000000436557</v>
      </c>
      <c r="AF118" s="188">
        <f t="shared" si="36"/>
        <v>0</v>
      </c>
      <c r="AG118" s="188">
        <f t="shared" si="37"/>
        <v>0</v>
      </c>
    </row>
    <row r="119" spans="2:33" ht="15" customHeight="1" x14ac:dyDescent="0.15">
      <c r="B119" s="174" t="s">
        <v>19</v>
      </c>
      <c r="C119" s="175" t="s">
        <v>15</v>
      </c>
      <c r="D119" s="176" t="str">
        <f t="shared" si="19"/>
        <v>C</v>
      </c>
      <c r="E119" s="177" t="d">
        <v>2021-11-16T11:00:00.00000020954757600</v>
      </c>
      <c r="F119" s="178" t="s">
        <v>77</v>
      </c>
      <c r="G119" s="179">
        <v>1872.32</v>
      </c>
      <c r="H119" s="179">
        <v>1867.1</v>
      </c>
      <c r="I119" s="180">
        <f t="shared" si="20"/>
        <v>5.2200000000000273</v>
      </c>
      <c r="J119" s="179">
        <v>1897.39</v>
      </c>
      <c r="K119" s="177" t="d">
        <v>2021-11-16T15:56:59.99999983236193650</v>
      </c>
      <c r="L119" s="179">
        <v>1867.1</v>
      </c>
      <c r="M119" s="181">
        <f t="shared" si="21"/>
        <v>-5.22</v>
      </c>
      <c r="N119" s="182">
        <f t="shared" si="22"/>
        <v>-1</v>
      </c>
      <c r="O119" s="183">
        <f t="shared" si="23"/>
        <v>0</v>
      </c>
      <c r="P119" s="184">
        <f t="shared" si="24"/>
        <v>0</v>
      </c>
      <c r="Q119" s="184">
        <f t="shared" si="25"/>
        <v>-1</v>
      </c>
      <c r="R11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57535</v>
      </c>
      <c r="T11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59452.5</v>
      </c>
      <c r="U119" s="186">
        <f ca="1">IF(Tabla33610673[[#This Row],[Equity]]&lt;Tabla33610673[[#This Row],[Equity Peak]],(Tabla33610673[[#This Row],[Equity Peak]]-Tabla33610673[[#This Row],[Equity]])/Tabla33610673[[#This Row],[Equity Peak]],"")</f>
        <v>3.2252638661116016E-2</v>
      </c>
      <c r="V119" s="187">
        <f t="shared" si="26"/>
        <v>0</v>
      </c>
      <c r="W119" s="187">
        <f t="shared" si="27"/>
        <v>0</v>
      </c>
      <c r="X119" s="187">
        <f t="shared" si="28"/>
        <v>-1</v>
      </c>
      <c r="Y119" s="187">
        <f t="shared" si="29"/>
        <v>0</v>
      </c>
      <c r="Z119" s="187">
        <f t="shared" si="30"/>
        <v>0</v>
      </c>
      <c r="AA119" s="183">
        <f t="shared" si="31"/>
        <v>0</v>
      </c>
      <c r="AB119" s="187">
        <f t="shared" si="32"/>
        <v>0</v>
      </c>
      <c r="AC119" s="183">
        <f t="shared" si="33"/>
        <v>0</v>
      </c>
      <c r="AD119" s="188">
        <f t="shared" si="34"/>
        <v>0.20624999999563443</v>
      </c>
      <c r="AE119" s="188">
        <f t="shared" si="35"/>
        <v>0</v>
      </c>
      <c r="AF119" s="188">
        <f t="shared" si="36"/>
        <v>0.20624999999563443</v>
      </c>
      <c r="AG119" s="188">
        <f t="shared" si="37"/>
        <v>0</v>
      </c>
    </row>
    <row r="120" spans="2:33" ht="15" customHeight="1" x14ac:dyDescent="0.15">
      <c r="B120" s="174" t="s">
        <v>5</v>
      </c>
      <c r="C120" s="175" t="s">
        <v>15</v>
      </c>
      <c r="D120" s="176" t="str">
        <f t="shared" si="19"/>
        <v>C</v>
      </c>
      <c r="E120" s="177" t="d">
        <v>2021-11-16T03:59:59.99999979045242400</v>
      </c>
      <c r="F120" s="178" t="s">
        <v>80</v>
      </c>
      <c r="G120" s="179">
        <v>16156.63</v>
      </c>
      <c r="H120" s="179">
        <v>16126.7</v>
      </c>
      <c r="I120" s="180">
        <f t="shared" si="20"/>
        <v>29.929999999998472</v>
      </c>
      <c r="J120" s="179">
        <v>16376.11</v>
      </c>
      <c r="K120" s="177" t="d">
        <v>2021-11-16T08:26:59.99999983236193650</v>
      </c>
      <c r="L120" s="179">
        <v>16126.7</v>
      </c>
      <c r="M120" s="181">
        <f t="shared" si="21"/>
        <v>-29.93</v>
      </c>
      <c r="N120" s="182">
        <f t="shared" si="22"/>
        <v>-1</v>
      </c>
      <c r="O120" s="183">
        <f t="shared" si="23"/>
        <v>0</v>
      </c>
      <c r="P120" s="184">
        <f t="shared" si="24"/>
        <v>0</v>
      </c>
      <c r="Q120" s="184">
        <f t="shared" si="25"/>
        <v>-1</v>
      </c>
      <c r="R12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57785</v>
      </c>
      <c r="T12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59452.5</v>
      </c>
      <c r="U120" s="186">
        <f ca="1">IF(Tabla33610673[[#This Row],[Equity]]&lt;Tabla33610673[[#This Row],[Equity Peak]],(Tabla33610673[[#This Row],[Equity Peak]]-Tabla33610673[[#This Row],[Equity]])/Tabla33610673[[#This Row],[Equity Peak]],"")</f>
        <v>2.8047601026029184E-2</v>
      </c>
      <c r="V120" s="187">
        <f t="shared" si="26"/>
        <v>0</v>
      </c>
      <c r="W120" s="187">
        <f t="shared" si="27"/>
        <v>0</v>
      </c>
      <c r="X120" s="187">
        <f t="shared" si="28"/>
        <v>0</v>
      </c>
      <c r="Y120" s="187">
        <f t="shared" si="29"/>
        <v>0</v>
      </c>
      <c r="Z120" s="187">
        <f t="shared" si="30"/>
        <v>-1</v>
      </c>
      <c r="AA120" s="183">
        <f t="shared" si="31"/>
        <v>0</v>
      </c>
      <c r="AB120" s="187">
        <f t="shared" si="32"/>
        <v>0</v>
      </c>
      <c r="AC120" s="183">
        <f t="shared" si="33"/>
        <v>0</v>
      </c>
      <c r="AD120" s="188">
        <f t="shared" si="34"/>
        <v>0.18541666666715173</v>
      </c>
      <c r="AE120" s="188">
        <f t="shared" si="35"/>
        <v>0</v>
      </c>
      <c r="AF120" s="188">
        <f t="shared" si="36"/>
        <v>0.18541666666715173</v>
      </c>
      <c r="AG120" s="188">
        <f t="shared" si="37"/>
        <v>0</v>
      </c>
    </row>
    <row r="121" spans="2:33" ht="15" customHeight="1" x14ac:dyDescent="0.15">
      <c r="B121" s="174" t="s">
        <v>5</v>
      </c>
      <c r="C121" s="175" t="s">
        <v>15</v>
      </c>
      <c r="D121" s="176" t="str">
        <f t="shared" si="19"/>
        <v>C</v>
      </c>
      <c r="E121" s="177" t="d">
        <v>2021-11-12T16:15:00.00000020954757600</v>
      </c>
      <c r="F121" s="178" t="s">
        <v>82</v>
      </c>
      <c r="G121" s="179">
        <v>4662.87</v>
      </c>
      <c r="H121" s="179">
        <v>4648.7</v>
      </c>
      <c r="I121" s="180">
        <f t="shared" si="20"/>
        <v>14.170000000000073</v>
      </c>
      <c r="J121" s="179">
        <v>4754.96</v>
      </c>
      <c r="K121" s="177" t="d">
        <v>2021-11-15T16:50:00.00000013969838625</v>
      </c>
      <c r="L121" s="179">
        <v>4687.09</v>
      </c>
      <c r="M121" s="181">
        <f t="shared" si="21"/>
        <v>24.22</v>
      </c>
      <c r="N121" s="182">
        <f t="shared" si="22"/>
        <v>1.71</v>
      </c>
      <c r="O121" s="183">
        <f t="shared" si="23"/>
        <v>0</v>
      </c>
      <c r="P121" s="184">
        <f t="shared" si="24"/>
        <v>1.71</v>
      </c>
      <c r="Q121" s="184">
        <f t="shared" si="25"/>
        <v>0</v>
      </c>
      <c r="R12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58035</v>
      </c>
      <c r="T12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59452.5</v>
      </c>
      <c r="U121" s="186">
        <f ca="1">IF(Tabla33610673[[#This Row],[Equity]]&lt;Tabla33610673[[#This Row],[Equity Peak]],(Tabla33610673[[#This Row],[Equity Peak]]-Tabla33610673[[#This Row],[Equity]])/Tabla33610673[[#This Row],[Equity Peak]],"")</f>
        <v>2.3842563390942349E-2</v>
      </c>
      <c r="V121" s="187">
        <f t="shared" si="26"/>
        <v>0</v>
      </c>
      <c r="W121" s="187">
        <f t="shared" si="27"/>
        <v>0</v>
      </c>
      <c r="X121" s="187">
        <f t="shared" si="28"/>
        <v>0</v>
      </c>
      <c r="Y121" s="187">
        <f t="shared" si="29"/>
        <v>0</v>
      </c>
      <c r="Z121" s="187">
        <f t="shared" si="30"/>
        <v>1.71</v>
      </c>
      <c r="AA121" s="183">
        <f t="shared" si="31"/>
        <v>0</v>
      </c>
      <c r="AB121" s="187">
        <f t="shared" si="32"/>
        <v>0</v>
      </c>
      <c r="AC121" s="183">
        <f t="shared" si="33"/>
        <v>0</v>
      </c>
      <c r="AD121" s="188">
        <f t="shared" si="34"/>
        <v>3.0243055555547471</v>
      </c>
      <c r="AE121" s="188">
        <f t="shared" si="35"/>
        <v>3.0243055555547471</v>
      </c>
      <c r="AF121" s="188">
        <f t="shared" si="36"/>
        <v>0</v>
      </c>
      <c r="AG121" s="188">
        <f t="shared" si="37"/>
        <v>0</v>
      </c>
    </row>
    <row r="122" spans="2:33" ht="15" customHeight="1" x14ac:dyDescent="0.15">
      <c r="B122" s="174" t="s">
        <v>5</v>
      </c>
      <c r="C122" s="175" t="s">
        <v>15</v>
      </c>
      <c r="D122" s="176" t="str">
        <f t="shared" si="19"/>
        <v>C</v>
      </c>
      <c r="E122" s="177" t="d">
        <v>2021-11-15T15:00:00.000</v>
      </c>
      <c r="F122" s="178" t="s">
        <v>80</v>
      </c>
      <c r="G122" s="179">
        <v>16133.15</v>
      </c>
      <c r="H122" s="179">
        <v>16105.27</v>
      </c>
      <c r="I122" s="180">
        <f t="shared" si="20"/>
        <v>27.8799999999992</v>
      </c>
      <c r="J122" s="179">
        <v>16337.63</v>
      </c>
      <c r="K122" s="177" t="d">
        <v>2021-11-15T16:47:59.99999974854290475</v>
      </c>
      <c r="L122" s="179">
        <v>16105.27</v>
      </c>
      <c r="M122" s="181">
        <f t="shared" si="21"/>
        <v>-27.88</v>
      </c>
      <c r="N122" s="182">
        <f t="shared" si="22"/>
        <v>-1</v>
      </c>
      <c r="O122" s="183">
        <f t="shared" si="23"/>
        <v>0</v>
      </c>
      <c r="P122" s="184">
        <f t="shared" si="24"/>
        <v>0</v>
      </c>
      <c r="Q122" s="184">
        <f t="shared" si="25"/>
        <v>-1</v>
      </c>
      <c r="R12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57607.5</v>
      </c>
      <c r="T12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59452.5</v>
      </c>
      <c r="U122" s="186">
        <f ca="1">IF(Tabla33610673[[#This Row],[Equity]]&lt;Tabla33610673[[#This Row],[Equity Peak]],(Tabla33610673[[#This Row],[Equity Peak]]-Tabla33610673[[#This Row],[Equity]])/Tabla33610673[[#This Row],[Equity Peak]],"")</f>
        <v>3.1033177746940834E-2</v>
      </c>
      <c r="V122" s="187">
        <f t="shared" si="26"/>
        <v>0</v>
      </c>
      <c r="W122" s="187">
        <f t="shared" si="27"/>
        <v>0</v>
      </c>
      <c r="X122" s="187">
        <f t="shared" si="28"/>
        <v>0</v>
      </c>
      <c r="Y122" s="187">
        <f t="shared" si="29"/>
        <v>0</v>
      </c>
      <c r="Z122" s="187">
        <f t="shared" si="30"/>
        <v>-1</v>
      </c>
      <c r="AA122" s="183">
        <f t="shared" si="31"/>
        <v>0</v>
      </c>
      <c r="AB122" s="187">
        <f t="shared" si="32"/>
        <v>0</v>
      </c>
      <c r="AC122" s="183">
        <f t="shared" si="33"/>
        <v>0</v>
      </c>
      <c r="AD122" s="188">
        <f t="shared" si="34"/>
        <v>7.4999999997089617E-2</v>
      </c>
      <c r="AE122" s="188">
        <f t="shared" si="35"/>
        <v>0</v>
      </c>
      <c r="AF122" s="188">
        <f t="shared" si="36"/>
        <v>7.4999999997089617E-2</v>
      </c>
      <c r="AG122" s="188">
        <f t="shared" si="37"/>
        <v>0</v>
      </c>
    </row>
    <row r="123" spans="2:33" ht="15" customHeight="1" x14ac:dyDescent="0.15">
      <c r="B123" s="174" t="s">
        <v>5</v>
      </c>
      <c r="C123" s="175" t="s">
        <v>15</v>
      </c>
      <c r="D123" s="176" t="str">
        <f t="shared" si="19"/>
        <v>C</v>
      </c>
      <c r="E123" s="177" t="d">
        <v>2021-11-12T18:14:59.99999979045242400</v>
      </c>
      <c r="F123" s="178" t="s">
        <v>81</v>
      </c>
      <c r="G123" s="179">
        <v>16147.69</v>
      </c>
      <c r="H123" s="179">
        <v>16086.72</v>
      </c>
      <c r="I123" s="180">
        <f t="shared" si="20"/>
        <v>60.970000000001164</v>
      </c>
      <c r="J123" s="179">
        <v>16513.490000000002</v>
      </c>
      <c r="K123" s="177" t="d">
        <v>2021-11-15T16:30:00.000</v>
      </c>
      <c r="L123" s="179">
        <v>16232.15</v>
      </c>
      <c r="M123" s="181">
        <f t="shared" si="21"/>
        <v>84.46</v>
      </c>
      <c r="N123" s="182">
        <f t="shared" si="22"/>
        <v>1.39</v>
      </c>
      <c r="O123" s="183">
        <f t="shared" si="23"/>
        <v>0</v>
      </c>
      <c r="P123" s="184">
        <f t="shared" si="24"/>
        <v>1.39</v>
      </c>
      <c r="Q123" s="184">
        <f t="shared" si="25"/>
        <v>0</v>
      </c>
      <c r="R12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57857.5</v>
      </c>
      <c r="T12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59452.5</v>
      </c>
      <c r="U123" s="186">
        <f ca="1">IF(Tabla33610673[[#This Row],[Equity]]&lt;Tabla33610673[[#This Row],[Equity Peak]],(Tabla33610673[[#This Row],[Equity Peak]]-Tabla33610673[[#This Row],[Equity]])/Tabla33610673[[#This Row],[Equity Peak]],"")</f>
        <v>2.6828140111854002E-2</v>
      </c>
      <c r="V123" s="187">
        <f t="shared" si="26"/>
        <v>0</v>
      </c>
      <c r="W123" s="187">
        <f t="shared" si="27"/>
        <v>0</v>
      </c>
      <c r="X123" s="187">
        <f t="shared" si="28"/>
        <v>0</v>
      </c>
      <c r="Y123" s="187">
        <f t="shared" si="29"/>
        <v>0</v>
      </c>
      <c r="Z123" s="187">
        <f t="shared" si="30"/>
        <v>1.39</v>
      </c>
      <c r="AA123" s="183">
        <f t="shared" si="31"/>
        <v>0</v>
      </c>
      <c r="AB123" s="187">
        <f t="shared" si="32"/>
        <v>0</v>
      </c>
      <c r="AC123" s="183">
        <f t="shared" si="33"/>
        <v>0</v>
      </c>
      <c r="AD123" s="188">
        <f t="shared" si="34"/>
        <v>2.9270833333357587</v>
      </c>
      <c r="AE123" s="188">
        <f t="shared" si="35"/>
        <v>2.9270833333357587</v>
      </c>
      <c r="AF123" s="188">
        <f t="shared" si="36"/>
        <v>0</v>
      </c>
      <c r="AG123" s="188">
        <f t="shared" si="37"/>
        <v>0</v>
      </c>
    </row>
    <row r="124" spans="2:33" ht="15" customHeight="1" x14ac:dyDescent="0.15">
      <c r="B124" s="174" t="s">
        <v>19</v>
      </c>
      <c r="C124" s="175" t="s">
        <v>15</v>
      </c>
      <c r="D124" s="176" t="str">
        <f t="shared" si="19"/>
        <v>C</v>
      </c>
      <c r="E124" s="177" t="d">
        <v>2021-11-15T15:14:59.99999979045242400</v>
      </c>
      <c r="F124" s="178" t="s">
        <v>77</v>
      </c>
      <c r="G124" s="179">
        <v>1868.31</v>
      </c>
      <c r="H124" s="179">
        <v>1863.12</v>
      </c>
      <c r="I124" s="180">
        <f t="shared" si="20"/>
        <v>5.1900000000000546</v>
      </c>
      <c r="J124" s="179">
        <v>1893.21</v>
      </c>
      <c r="K124" s="177" t="d">
        <v>2021-11-15T15:40:00.0000002793967725</v>
      </c>
      <c r="L124" s="179">
        <v>1863.12</v>
      </c>
      <c r="M124" s="181">
        <f t="shared" si="21"/>
        <v>-5.19</v>
      </c>
      <c r="N124" s="182">
        <f t="shared" si="22"/>
        <v>-1</v>
      </c>
      <c r="O124" s="183">
        <f t="shared" si="23"/>
        <v>0</v>
      </c>
      <c r="P124" s="184">
        <f t="shared" si="24"/>
        <v>0</v>
      </c>
      <c r="Q124" s="184">
        <f t="shared" si="25"/>
        <v>-1</v>
      </c>
      <c r="R12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57510</v>
      </c>
      <c r="T12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59452.5</v>
      </c>
      <c r="U124" s="186">
        <f ca="1">IF(Tabla33610673[[#This Row],[Equity]]&lt;Tabla33610673[[#This Row],[Equity Peak]],(Tabla33610673[[#This Row],[Equity Peak]]-Tabla33610673[[#This Row],[Equity]])/Tabla33610673[[#This Row],[Equity Peak]],"")</f>
        <v>3.2673142424624699E-2</v>
      </c>
      <c r="V124" s="187">
        <f t="shared" si="26"/>
        <v>0</v>
      </c>
      <c r="W124" s="187">
        <f t="shared" si="27"/>
        <v>0</v>
      </c>
      <c r="X124" s="187">
        <f t="shared" si="28"/>
        <v>-1</v>
      </c>
      <c r="Y124" s="187">
        <f t="shared" si="29"/>
        <v>0</v>
      </c>
      <c r="Z124" s="187">
        <f t="shared" si="30"/>
        <v>0</v>
      </c>
      <c r="AA124" s="183">
        <f t="shared" si="31"/>
        <v>0</v>
      </c>
      <c r="AB124" s="187">
        <f t="shared" si="32"/>
        <v>0</v>
      </c>
      <c r="AC124" s="183">
        <f t="shared" si="33"/>
        <v>0</v>
      </c>
      <c r="AD124" s="188">
        <f t="shared" si="34"/>
        <v>1.7361111116770189E-2</v>
      </c>
      <c r="AE124" s="188">
        <f t="shared" si="35"/>
        <v>0</v>
      </c>
      <c r="AF124" s="188">
        <f t="shared" si="36"/>
        <v>1.7361111116770189E-2</v>
      </c>
      <c r="AG124" s="188">
        <f t="shared" si="37"/>
        <v>0</v>
      </c>
    </row>
    <row r="125" spans="2:33" ht="15" customHeight="1" x14ac:dyDescent="0.15">
      <c r="B125" s="174" t="s">
        <v>19</v>
      </c>
      <c r="C125" s="175" t="s">
        <v>15</v>
      </c>
      <c r="D125" s="176" t="str">
        <f t="shared" si="19"/>
        <v>C</v>
      </c>
      <c r="E125" s="177" t="d">
        <v>2021-11-12T17:15:00.000</v>
      </c>
      <c r="F125" s="178" t="s">
        <v>77</v>
      </c>
      <c r="G125" s="179">
        <v>1860.43</v>
      </c>
      <c r="H125" s="179">
        <v>1855.01</v>
      </c>
      <c r="I125" s="180">
        <f t="shared" si="20"/>
        <v>5.4200000000000728</v>
      </c>
      <c r="J125" s="179">
        <v>1886.43</v>
      </c>
      <c r="K125" s="177" t="d">
        <v>2021-11-15T05:45:00.00000020954757600</v>
      </c>
      <c r="L125" s="179">
        <v>1857.03</v>
      </c>
      <c r="M125" s="181">
        <f t="shared" si="21"/>
        <v>-3.4</v>
      </c>
      <c r="N125" s="182">
        <f t="shared" si="22"/>
        <v>-0.63</v>
      </c>
      <c r="O125" s="183">
        <f t="shared" si="23"/>
        <v>0</v>
      </c>
      <c r="P125" s="184">
        <f t="shared" si="24"/>
        <v>0</v>
      </c>
      <c r="Q125" s="184">
        <f t="shared" si="25"/>
        <v>-0.63</v>
      </c>
      <c r="R12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57760</v>
      </c>
      <c r="T12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59452.5</v>
      </c>
      <c r="U125" s="186">
        <f ca="1">IF(Tabla33610673[[#This Row],[Equity]]&lt;Tabla33610673[[#This Row],[Equity Peak]],(Tabla33610673[[#This Row],[Equity Peak]]-Tabla33610673[[#This Row],[Equity]])/Tabla33610673[[#This Row],[Equity Peak]],"")</f>
        <v>2.8468104789537867E-2</v>
      </c>
      <c r="V125" s="187">
        <f t="shared" si="26"/>
        <v>0</v>
      </c>
      <c r="W125" s="187">
        <f t="shared" si="27"/>
        <v>0</v>
      </c>
      <c r="X125" s="187">
        <f t="shared" si="28"/>
        <v>-0.63</v>
      </c>
      <c r="Y125" s="187">
        <f t="shared" si="29"/>
        <v>0</v>
      </c>
      <c r="Z125" s="187">
        <f t="shared" si="30"/>
        <v>0</v>
      </c>
      <c r="AA125" s="183">
        <f t="shared" si="31"/>
        <v>0</v>
      </c>
      <c r="AB125" s="187">
        <f t="shared" si="32"/>
        <v>0</v>
      </c>
      <c r="AC125" s="183">
        <f t="shared" si="33"/>
        <v>0</v>
      </c>
      <c r="AD125" s="188">
        <f t="shared" si="34"/>
        <v>2.5208333333357587</v>
      </c>
      <c r="AE125" s="188">
        <f t="shared" si="35"/>
        <v>0</v>
      </c>
      <c r="AF125" s="188">
        <f t="shared" si="36"/>
        <v>2.5208333333357587</v>
      </c>
      <c r="AG125" s="188">
        <f t="shared" si="37"/>
        <v>0</v>
      </c>
    </row>
    <row r="126" spans="2:33" ht="15" customHeight="1" x14ac:dyDescent="0.15">
      <c r="B126" s="174" t="s">
        <v>5</v>
      </c>
      <c r="C126" s="175" t="s">
        <v>15</v>
      </c>
      <c r="D126" s="176" t="str">
        <f t="shared" si="19"/>
        <v>C</v>
      </c>
      <c r="E126" s="177" t="d">
        <v>2021-11-12T02:29:59.99999979045242400</v>
      </c>
      <c r="F126" s="178" t="s">
        <v>80</v>
      </c>
      <c r="G126" s="179">
        <v>16119.78</v>
      </c>
      <c r="H126" s="179">
        <v>16079.93</v>
      </c>
      <c r="I126" s="180">
        <f t="shared" si="20"/>
        <v>39.850000000000364</v>
      </c>
      <c r="J126" s="179">
        <v>16412.04</v>
      </c>
      <c r="K126" s="177" t="d">
        <v>2021-11-12T09:33:00.00000016763806350</v>
      </c>
      <c r="L126" s="179">
        <v>16079.93</v>
      </c>
      <c r="M126" s="181">
        <f t="shared" si="21"/>
        <v>-39.85</v>
      </c>
      <c r="N126" s="182">
        <f t="shared" si="22"/>
        <v>-1</v>
      </c>
      <c r="O126" s="183">
        <f t="shared" si="23"/>
        <v>0</v>
      </c>
      <c r="P126" s="184">
        <f t="shared" si="24"/>
        <v>0</v>
      </c>
      <c r="Q126" s="184">
        <f t="shared" si="25"/>
        <v>-1</v>
      </c>
      <c r="R12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57917.5</v>
      </c>
      <c r="T12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59452.5</v>
      </c>
      <c r="U126" s="186">
        <f ca="1">IF(Tabla33610673[[#This Row],[Equity]]&lt;Tabla33610673[[#This Row],[Equity Peak]],(Tabla33610673[[#This Row],[Equity Peak]]-Tabla33610673[[#This Row],[Equity]])/Tabla33610673[[#This Row],[Equity Peak]],"")</f>
        <v>2.5818931079433161E-2</v>
      </c>
      <c r="V126" s="187">
        <f t="shared" si="26"/>
        <v>0</v>
      </c>
      <c r="W126" s="187">
        <f t="shared" si="27"/>
        <v>0</v>
      </c>
      <c r="X126" s="187">
        <f t="shared" si="28"/>
        <v>0</v>
      </c>
      <c r="Y126" s="187">
        <f t="shared" si="29"/>
        <v>0</v>
      </c>
      <c r="Z126" s="187">
        <f t="shared" si="30"/>
        <v>-1</v>
      </c>
      <c r="AA126" s="183">
        <f t="shared" si="31"/>
        <v>0</v>
      </c>
      <c r="AB126" s="187">
        <f t="shared" si="32"/>
        <v>0</v>
      </c>
      <c r="AC126" s="183">
        <f t="shared" si="33"/>
        <v>0</v>
      </c>
      <c r="AD126" s="188">
        <f t="shared" si="34"/>
        <v>0.29375000000436557</v>
      </c>
      <c r="AE126" s="188">
        <f t="shared" si="35"/>
        <v>0</v>
      </c>
      <c r="AF126" s="188">
        <f t="shared" si="36"/>
        <v>0.29375000000436557</v>
      </c>
      <c r="AG126" s="188">
        <f t="shared" si="37"/>
        <v>0</v>
      </c>
    </row>
    <row r="127" spans="2:33" ht="15" customHeight="1" x14ac:dyDescent="0.15">
      <c r="B127" s="174" t="s">
        <v>7</v>
      </c>
      <c r="C127" s="175" t="s">
        <v>13</v>
      </c>
      <c r="D127" s="176" t="str">
        <f t="shared" si="19"/>
        <v>C</v>
      </c>
      <c r="E127" s="177" t="d">
        <v>2021-11-11T20:15:00.000</v>
      </c>
      <c r="F127" s="178" t="s">
        <v>102</v>
      </c>
      <c r="G127" s="179">
        <v>152.41300000000001</v>
      </c>
      <c r="H127" s="179">
        <v>152.78200000000001</v>
      </c>
      <c r="I127" s="180">
        <f t="shared" si="20"/>
        <v>0.36899999999999977</v>
      </c>
      <c r="J127" s="179">
        <v>150.44399999999999</v>
      </c>
      <c r="K127" s="177" t="d">
        <v>2021-11-12T09:11:59.99999983236193650</v>
      </c>
      <c r="L127" s="179">
        <v>152.78200000000001</v>
      </c>
      <c r="M127" s="181">
        <f t="shared" si="21"/>
        <v>-0.36899999999999999</v>
      </c>
      <c r="N127" s="182">
        <f t="shared" si="22"/>
        <v>-1</v>
      </c>
      <c r="O127" s="183">
        <f t="shared" si="23"/>
        <v>0</v>
      </c>
      <c r="P127" s="184">
        <f t="shared" si="24"/>
        <v>0</v>
      </c>
      <c r="Q127" s="184">
        <f t="shared" si="25"/>
        <v>-1</v>
      </c>
      <c r="R12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58167.5</v>
      </c>
      <c r="T12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59452.5</v>
      </c>
      <c r="U127" s="186">
        <f ca="1">IF(Tabla33610673[[#This Row],[Equity]]&lt;Tabla33610673[[#This Row],[Equity Peak]],(Tabla33610673[[#This Row],[Equity Peak]]-Tabla33610673[[#This Row],[Equity]])/Tabla33610673[[#This Row],[Equity Peak]],"")</f>
        <v>2.1613893444346326E-2</v>
      </c>
      <c r="V127" s="187">
        <f t="shared" si="26"/>
        <v>-1</v>
      </c>
      <c r="W127" s="187">
        <f t="shared" si="27"/>
        <v>0</v>
      </c>
      <c r="X127" s="187">
        <f t="shared" si="28"/>
        <v>0</v>
      </c>
      <c r="Y127" s="187">
        <f t="shared" si="29"/>
        <v>0</v>
      </c>
      <c r="Z127" s="187">
        <f t="shared" si="30"/>
        <v>0</v>
      </c>
      <c r="AA127" s="183">
        <f t="shared" si="31"/>
        <v>0</v>
      </c>
      <c r="AB127" s="187">
        <f t="shared" si="32"/>
        <v>0</v>
      </c>
      <c r="AC127" s="183">
        <f t="shared" si="33"/>
        <v>0</v>
      </c>
      <c r="AD127" s="188">
        <f t="shared" si="34"/>
        <v>0.53958333333139308</v>
      </c>
      <c r="AE127" s="188">
        <f t="shared" si="35"/>
        <v>0</v>
      </c>
      <c r="AF127" s="188">
        <f t="shared" si="36"/>
        <v>0.53958333333139308</v>
      </c>
      <c r="AG127" s="188">
        <f t="shared" si="37"/>
        <v>0</v>
      </c>
    </row>
    <row r="128" spans="2:33" ht="15" customHeight="1" x14ac:dyDescent="0.15">
      <c r="B128" s="174" t="s">
        <v>5</v>
      </c>
      <c r="C128" s="175" t="s">
        <v>15</v>
      </c>
      <c r="D128" s="176" t="str">
        <f t="shared" si="19"/>
        <v>C</v>
      </c>
      <c r="E128" s="177" t="d">
        <v>2021-11-11T11:29:59.99999979045242400</v>
      </c>
      <c r="F128" s="178" t="s">
        <v>80</v>
      </c>
      <c r="G128" s="179">
        <v>16109.66</v>
      </c>
      <c r="H128" s="179">
        <v>16068.68</v>
      </c>
      <c r="I128" s="180">
        <f t="shared" si="20"/>
        <v>40.979999999999563</v>
      </c>
      <c r="J128" s="179">
        <v>16410.2</v>
      </c>
      <c r="K128" s="177" t="d">
        <v>2021-11-11T12:36:00.00000012572854425</v>
      </c>
      <c r="L128" s="179">
        <v>16068.68</v>
      </c>
      <c r="M128" s="181">
        <f t="shared" si="21"/>
        <v>-40.98</v>
      </c>
      <c r="N128" s="182">
        <f t="shared" si="22"/>
        <v>-1</v>
      </c>
      <c r="O128" s="183">
        <f t="shared" si="23"/>
        <v>0</v>
      </c>
      <c r="P128" s="184">
        <f t="shared" si="24"/>
        <v>0</v>
      </c>
      <c r="Q128" s="184">
        <f t="shared" si="25"/>
        <v>-1</v>
      </c>
      <c r="R12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58417.5</v>
      </c>
      <c r="T12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59452.5</v>
      </c>
      <c r="U128" s="186">
        <f ca="1">IF(Tabla33610673[[#This Row],[Equity]]&lt;Tabla33610673[[#This Row],[Equity Peak]],(Tabla33610673[[#This Row],[Equity Peak]]-Tabla33610673[[#This Row],[Equity]])/Tabla33610673[[#This Row],[Equity Peak]],"")</f>
        <v>1.7408855809259494E-2</v>
      </c>
      <c r="V128" s="187">
        <f t="shared" si="26"/>
        <v>0</v>
      </c>
      <c r="W128" s="187">
        <f t="shared" si="27"/>
        <v>0</v>
      </c>
      <c r="X128" s="187">
        <f t="shared" si="28"/>
        <v>0</v>
      </c>
      <c r="Y128" s="187">
        <f t="shared" si="29"/>
        <v>0</v>
      </c>
      <c r="Z128" s="187">
        <f t="shared" si="30"/>
        <v>-1</v>
      </c>
      <c r="AA128" s="183">
        <f t="shared" si="31"/>
        <v>0</v>
      </c>
      <c r="AB128" s="187">
        <f t="shared" si="32"/>
        <v>0</v>
      </c>
      <c r="AC128" s="183">
        <f t="shared" si="33"/>
        <v>0</v>
      </c>
      <c r="AD128" s="188">
        <f t="shared" si="34"/>
        <v>4.5833333337213844E-2</v>
      </c>
      <c r="AE128" s="188">
        <f t="shared" si="35"/>
        <v>0</v>
      </c>
      <c r="AF128" s="188">
        <f t="shared" si="36"/>
        <v>4.5833333337213844E-2</v>
      </c>
      <c r="AG128" s="188">
        <f t="shared" si="37"/>
        <v>0</v>
      </c>
    </row>
    <row r="129" spans="2:33" ht="15" customHeight="1" x14ac:dyDescent="0.15">
      <c r="B129" s="174" t="s">
        <v>7</v>
      </c>
      <c r="C129" s="175" t="s">
        <v>13</v>
      </c>
      <c r="D129" s="176" t="str">
        <f t="shared" si="19"/>
        <v>C</v>
      </c>
      <c r="E129" s="177" t="d">
        <v>2021-11-10T21:45:00.000</v>
      </c>
      <c r="F129" s="178" t="s">
        <v>102</v>
      </c>
      <c r="G129" s="179">
        <v>152.672</v>
      </c>
      <c r="H129" s="179">
        <v>153.02600000000001</v>
      </c>
      <c r="I129" s="180">
        <f t="shared" si="20"/>
        <v>0.35400000000001342</v>
      </c>
      <c r="J129" s="179">
        <v>150.785</v>
      </c>
      <c r="K129" s="177" t="d">
        <v>2021-11-11T08:28:00.00000002793967725</v>
      </c>
      <c r="L129" s="179">
        <v>153.02600000000001</v>
      </c>
      <c r="M129" s="181">
        <f t="shared" si="21"/>
        <v>-0.35399999999999998</v>
      </c>
      <c r="N129" s="182">
        <f t="shared" si="22"/>
        <v>-1</v>
      </c>
      <c r="O129" s="183">
        <f t="shared" si="23"/>
        <v>0</v>
      </c>
      <c r="P129" s="184">
        <f t="shared" si="24"/>
        <v>0</v>
      </c>
      <c r="Q129" s="184">
        <f t="shared" si="25"/>
        <v>-1</v>
      </c>
      <c r="R12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58667.5</v>
      </c>
      <c r="T12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59452.5</v>
      </c>
      <c r="U129" s="186">
        <f ca="1">IF(Tabla33610673[[#This Row],[Equity]]&lt;Tabla33610673[[#This Row],[Equity Peak]],(Tabla33610673[[#This Row],[Equity Peak]]-Tabla33610673[[#This Row],[Equity]])/Tabla33610673[[#This Row],[Equity Peak]],"")</f>
        <v>1.3203818174172658E-2</v>
      </c>
      <c r="V129" s="187">
        <f t="shared" si="26"/>
        <v>-1</v>
      </c>
      <c r="W129" s="187">
        <f t="shared" si="27"/>
        <v>0</v>
      </c>
      <c r="X129" s="187">
        <f t="shared" si="28"/>
        <v>0</v>
      </c>
      <c r="Y129" s="187">
        <f t="shared" si="29"/>
        <v>0</v>
      </c>
      <c r="Z129" s="187">
        <f t="shared" si="30"/>
        <v>0</v>
      </c>
      <c r="AA129" s="183">
        <f t="shared" si="31"/>
        <v>0</v>
      </c>
      <c r="AB129" s="187">
        <f t="shared" si="32"/>
        <v>0</v>
      </c>
      <c r="AC129" s="183">
        <f t="shared" si="33"/>
        <v>0</v>
      </c>
      <c r="AD129" s="188">
        <f t="shared" si="34"/>
        <v>0.44652777777810115</v>
      </c>
      <c r="AE129" s="188">
        <f t="shared" si="35"/>
        <v>0</v>
      </c>
      <c r="AF129" s="188">
        <f t="shared" si="36"/>
        <v>0.44652777777810115</v>
      </c>
      <c r="AG129" s="188">
        <f t="shared" si="37"/>
        <v>0</v>
      </c>
    </row>
    <row r="130" spans="2:33" ht="15" customHeight="1" x14ac:dyDescent="0.15">
      <c r="B130" s="174" t="s">
        <v>5</v>
      </c>
      <c r="C130" s="175" t="s">
        <v>13</v>
      </c>
      <c r="D130" s="176" t="str">
        <f t="shared" si="19"/>
        <v>C</v>
      </c>
      <c r="E130" s="177" t="d">
        <v>2021-11-10T20:15:00.000</v>
      </c>
      <c r="F130" s="178" t="s">
        <v>82</v>
      </c>
      <c r="G130" s="179">
        <v>4658.05</v>
      </c>
      <c r="H130" s="179">
        <v>4672.49</v>
      </c>
      <c r="I130" s="180">
        <f t="shared" si="20"/>
        <v>14.4399999999996</v>
      </c>
      <c r="J130" s="179">
        <v>4564.2</v>
      </c>
      <c r="K130" s="177" t="d">
        <v>2021-11-10T22:15:59.99999977648258200</v>
      </c>
      <c r="L130" s="179">
        <v>4645.6899999999996</v>
      </c>
      <c r="M130" s="181">
        <f t="shared" si="21"/>
        <v>12.36</v>
      </c>
      <c r="N130" s="182">
        <f t="shared" si="22"/>
        <v>0.86</v>
      </c>
      <c r="O130" s="183">
        <f t="shared" si="23"/>
        <v>0</v>
      </c>
      <c r="P130" s="184">
        <f t="shared" si="24"/>
        <v>0.86</v>
      </c>
      <c r="Q130" s="184">
        <f t="shared" si="25"/>
        <v>0</v>
      </c>
      <c r="R13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58917.5</v>
      </c>
      <c r="T13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59452.5</v>
      </c>
      <c r="U130" s="186">
        <f ca="1">IF(Tabla33610673[[#This Row],[Equity]]&lt;Tabla33610673[[#This Row],[Equity Peak]],(Tabla33610673[[#This Row],[Equity Peak]]-Tabla33610673[[#This Row],[Equity]])/Tabla33610673[[#This Row],[Equity Peak]],"")</f>
        <v>8.9987805390858242E-3</v>
      </c>
      <c r="V130" s="187">
        <f t="shared" si="26"/>
        <v>0</v>
      </c>
      <c r="W130" s="187">
        <f t="shared" si="27"/>
        <v>0</v>
      </c>
      <c r="X130" s="187">
        <f t="shared" si="28"/>
        <v>0</v>
      </c>
      <c r="Y130" s="187">
        <f t="shared" si="29"/>
        <v>0</v>
      </c>
      <c r="Z130" s="187">
        <f t="shared" si="30"/>
        <v>0.86</v>
      </c>
      <c r="AA130" s="183">
        <f t="shared" si="31"/>
        <v>0</v>
      </c>
      <c r="AB130" s="187">
        <f t="shared" si="32"/>
        <v>0</v>
      </c>
      <c r="AC130" s="183">
        <f t="shared" si="33"/>
        <v>0</v>
      </c>
      <c r="AD130" s="188">
        <f t="shared" si="34"/>
        <v>8.4027777775190771E-2</v>
      </c>
      <c r="AE130" s="188">
        <f t="shared" si="35"/>
        <v>8.4027777775190771E-2</v>
      </c>
      <c r="AF130" s="188">
        <f t="shared" si="36"/>
        <v>0</v>
      </c>
      <c r="AG130" s="188">
        <f t="shared" si="37"/>
        <v>0</v>
      </c>
    </row>
    <row r="131" spans="2:33" ht="15" customHeight="1" x14ac:dyDescent="0.15">
      <c r="B131" s="174" t="s">
        <v>7</v>
      </c>
      <c r="C131" s="175" t="s">
        <v>15</v>
      </c>
      <c r="D131" s="176" t="str">
        <f t="shared" si="19"/>
        <v>C</v>
      </c>
      <c r="E131" s="177" t="d">
        <v>2021-11-10T17:00:00.00000020954757600</v>
      </c>
      <c r="F131" s="178" t="s">
        <v>102</v>
      </c>
      <c r="G131" s="179">
        <v>153.691</v>
      </c>
      <c r="H131" s="179">
        <v>153.35</v>
      </c>
      <c r="I131" s="180">
        <f t="shared" si="20"/>
        <v>0.34100000000000819</v>
      </c>
      <c r="J131" s="179">
        <v>155.50800000000001</v>
      </c>
      <c r="K131" s="177" t="d">
        <v>2021-11-10T19:28:00.00000023748725325</v>
      </c>
      <c r="L131" s="179">
        <v>153.35</v>
      </c>
      <c r="M131" s="181">
        <f t="shared" si="21"/>
        <v>-0.34100000000000003</v>
      </c>
      <c r="N131" s="182">
        <f t="shared" si="22"/>
        <v>-1</v>
      </c>
      <c r="O131" s="183">
        <f t="shared" si="23"/>
        <v>0</v>
      </c>
      <c r="P131" s="184">
        <f t="shared" si="24"/>
        <v>0</v>
      </c>
      <c r="Q131" s="184">
        <f t="shared" si="25"/>
        <v>-1</v>
      </c>
      <c r="R13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58702.5</v>
      </c>
      <c r="T13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59452.5</v>
      </c>
      <c r="U131" s="186">
        <f ca="1">IF(Tabla33610673[[#This Row],[Equity]]&lt;Tabla33610673[[#This Row],[Equity Peak]],(Tabla33610673[[#This Row],[Equity Peak]]-Tabla33610673[[#This Row],[Equity]])/Tabla33610673[[#This Row],[Equity Peak]],"")</f>
        <v>1.2615112905260501E-2</v>
      </c>
      <c r="V131" s="187">
        <f t="shared" si="26"/>
        <v>-1</v>
      </c>
      <c r="W131" s="187">
        <f t="shared" si="27"/>
        <v>0</v>
      </c>
      <c r="X131" s="187">
        <f t="shared" si="28"/>
        <v>0</v>
      </c>
      <c r="Y131" s="187">
        <f t="shared" si="29"/>
        <v>0</v>
      </c>
      <c r="Z131" s="187">
        <f t="shared" si="30"/>
        <v>0</v>
      </c>
      <c r="AA131" s="183">
        <f t="shared" si="31"/>
        <v>0</v>
      </c>
      <c r="AB131" s="187">
        <f t="shared" si="32"/>
        <v>0</v>
      </c>
      <c r="AC131" s="183">
        <f t="shared" si="33"/>
        <v>0</v>
      </c>
      <c r="AD131" s="188">
        <f t="shared" si="34"/>
        <v>0.10277777777810115</v>
      </c>
      <c r="AE131" s="188">
        <f t="shared" si="35"/>
        <v>0</v>
      </c>
      <c r="AF131" s="188">
        <f t="shared" si="36"/>
        <v>0.10277777777810115</v>
      </c>
      <c r="AG131" s="188">
        <f t="shared" si="37"/>
        <v>0</v>
      </c>
    </row>
    <row r="132" spans="2:33" ht="15" customHeight="1" x14ac:dyDescent="0.15">
      <c r="B132" s="174" t="s">
        <v>5</v>
      </c>
      <c r="C132" s="175" t="s">
        <v>15</v>
      </c>
      <c r="D132" s="176" t="str">
        <f t="shared" si="19"/>
        <v>C</v>
      </c>
      <c r="E132" s="177" t="d">
        <v>2021-11-09T16:30:00.000</v>
      </c>
      <c r="F132" s="178" t="s">
        <v>82</v>
      </c>
      <c r="G132" s="179">
        <v>4704.41</v>
      </c>
      <c r="H132" s="179">
        <v>4692.12</v>
      </c>
      <c r="I132" s="180">
        <f t="shared" si="20"/>
        <v>12.289999999999964</v>
      </c>
      <c r="J132" s="179">
        <v>4784.3100000000004</v>
      </c>
      <c r="K132" s="177" t="d">
        <v>2021-11-09T16:53:00.000000097788870375</v>
      </c>
      <c r="L132" s="179">
        <v>4692.12</v>
      </c>
      <c r="M132" s="181">
        <f t="shared" si="21"/>
        <v>-12.29</v>
      </c>
      <c r="N132" s="182">
        <f t="shared" si="22"/>
        <v>-1</v>
      </c>
      <c r="O132" s="183">
        <f t="shared" si="23"/>
        <v>0</v>
      </c>
      <c r="P132" s="184">
        <f t="shared" si="24"/>
        <v>0</v>
      </c>
      <c r="Q132" s="184">
        <f t="shared" si="25"/>
        <v>-1</v>
      </c>
      <c r="R13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58952.5</v>
      </c>
      <c r="T13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59452.5</v>
      </c>
      <c r="U132" s="186">
        <f ca="1">IF(Tabla33610673[[#This Row],[Equity]]&lt;Tabla33610673[[#This Row],[Equity Peak]],(Tabla33610673[[#This Row],[Equity Peak]]-Tabla33610673[[#This Row],[Equity]])/Tabla33610673[[#This Row],[Equity Peak]],"")</f>
        <v>8.4100752701736677E-3</v>
      </c>
      <c r="V132" s="187">
        <f t="shared" si="26"/>
        <v>0</v>
      </c>
      <c r="W132" s="187">
        <f t="shared" si="27"/>
        <v>0</v>
      </c>
      <c r="X132" s="187">
        <f t="shared" si="28"/>
        <v>0</v>
      </c>
      <c r="Y132" s="187">
        <f t="shared" si="29"/>
        <v>0</v>
      </c>
      <c r="Z132" s="187">
        <f t="shared" si="30"/>
        <v>-1</v>
      </c>
      <c r="AA132" s="183">
        <f t="shared" si="31"/>
        <v>0</v>
      </c>
      <c r="AB132" s="187">
        <f t="shared" si="32"/>
        <v>0</v>
      </c>
      <c r="AC132" s="183">
        <f t="shared" si="33"/>
        <v>0</v>
      </c>
      <c r="AD132" s="188">
        <f t="shared" si="34"/>
        <v>1.5972222223354038E-2</v>
      </c>
      <c r="AE132" s="188">
        <f t="shared" si="35"/>
        <v>0</v>
      </c>
      <c r="AF132" s="188">
        <f t="shared" si="36"/>
        <v>1.5972222223354038E-2</v>
      </c>
      <c r="AG132" s="188">
        <f t="shared" si="37"/>
        <v>0</v>
      </c>
    </row>
    <row r="133" spans="2:33" ht="15" customHeight="1" x14ac:dyDescent="0.15">
      <c r="B133" s="174" t="s">
        <v>5</v>
      </c>
      <c r="C133" s="175" t="s">
        <v>15</v>
      </c>
      <c r="D133" s="176" t="str">
        <f t="shared" si="19"/>
        <v>C</v>
      </c>
      <c r="E133" s="177" t="d">
        <v>2021-11-09T13:30:00.000</v>
      </c>
      <c r="F133" s="178" t="s">
        <v>80</v>
      </c>
      <c r="G133" s="179">
        <v>16092.17</v>
      </c>
      <c r="H133" s="179">
        <v>16058.61</v>
      </c>
      <c r="I133" s="180">
        <f t="shared" si="20"/>
        <v>33.559999999999491</v>
      </c>
      <c r="J133" s="179">
        <v>16338.27</v>
      </c>
      <c r="K133" s="177" t="d">
        <v>2021-11-09T16:47:59.99999974854290475</v>
      </c>
      <c r="L133" s="179">
        <v>16058.61</v>
      </c>
      <c r="M133" s="181">
        <f t="shared" si="21"/>
        <v>-33.56</v>
      </c>
      <c r="N133" s="182">
        <f t="shared" si="22"/>
        <v>-1</v>
      </c>
      <c r="O133" s="183">
        <f t="shared" si="23"/>
        <v>0</v>
      </c>
      <c r="P133" s="184">
        <f t="shared" si="24"/>
        <v>0</v>
      </c>
      <c r="Q133" s="184">
        <f t="shared" si="25"/>
        <v>-1</v>
      </c>
      <c r="R13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59202.5</v>
      </c>
      <c r="T13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59452.5</v>
      </c>
      <c r="U133" s="186">
        <f ca="1">IF(Tabla33610673[[#This Row],[Equity]]&lt;Tabla33610673[[#This Row],[Equity Peak]],(Tabla33610673[[#This Row],[Equity Peak]]-Tabla33610673[[#This Row],[Equity]])/Tabla33610673[[#This Row],[Equity Peak]],"")</f>
        <v>4.2050376350868338E-3</v>
      </c>
      <c r="V133" s="187">
        <f t="shared" si="26"/>
        <v>0</v>
      </c>
      <c r="W133" s="187">
        <f t="shared" si="27"/>
        <v>0</v>
      </c>
      <c r="X133" s="187">
        <f t="shared" si="28"/>
        <v>0</v>
      </c>
      <c r="Y133" s="187">
        <f t="shared" si="29"/>
        <v>0</v>
      </c>
      <c r="Z133" s="187">
        <f t="shared" si="30"/>
        <v>-1</v>
      </c>
      <c r="AA133" s="183">
        <f t="shared" si="31"/>
        <v>0</v>
      </c>
      <c r="AB133" s="187">
        <f t="shared" si="32"/>
        <v>0</v>
      </c>
      <c r="AC133" s="183">
        <f t="shared" si="33"/>
        <v>0</v>
      </c>
      <c r="AD133" s="188">
        <f t="shared" si="34"/>
        <v>0.13749999999708962</v>
      </c>
      <c r="AE133" s="188">
        <f t="shared" si="35"/>
        <v>0</v>
      </c>
      <c r="AF133" s="188">
        <f t="shared" si="36"/>
        <v>0.13749999999708962</v>
      </c>
      <c r="AG133" s="188">
        <f t="shared" si="37"/>
        <v>0</v>
      </c>
    </row>
    <row r="134" spans="2:33" ht="15" customHeight="1" x14ac:dyDescent="0.15">
      <c r="B134" s="174" t="s">
        <v>7</v>
      </c>
      <c r="C134" s="175" t="s">
        <v>13</v>
      </c>
      <c r="D134" s="176" t="str">
        <f t="shared" si="19"/>
        <v>C</v>
      </c>
      <c r="E134" s="177" t="d">
        <v>2021-11-08T16:15:00.00000020954757600</v>
      </c>
      <c r="F134" s="178" t="s">
        <v>103</v>
      </c>
      <c r="G134" s="179">
        <v>113.22499999999999</v>
      </c>
      <c r="H134" s="179">
        <v>113.438</v>
      </c>
      <c r="I134" s="180">
        <f t="shared" si="20"/>
        <v>0.21300000000000807</v>
      </c>
      <c r="J134" s="179">
        <v>111.887</v>
      </c>
      <c r="K134" s="177" t="d">
        <v>2021-11-09T14:17:59.9999999580904875</v>
      </c>
      <c r="L134" s="179">
        <v>113.01300000000001</v>
      </c>
      <c r="M134" s="181">
        <f t="shared" si="21"/>
        <v>0.21199999999999999</v>
      </c>
      <c r="N134" s="182">
        <f t="shared" si="22"/>
        <v>1</v>
      </c>
      <c r="O134" s="183">
        <f t="shared" si="23"/>
        <v>0</v>
      </c>
      <c r="P134" s="184">
        <f t="shared" si="24"/>
        <v>1</v>
      </c>
      <c r="Q134" s="184">
        <f t="shared" si="25"/>
        <v>0</v>
      </c>
      <c r="R13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59452.5</v>
      </c>
      <c r="T13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59452.5</v>
      </c>
      <c r="U134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134" s="187">
        <f t="shared" si="26"/>
        <v>1</v>
      </c>
      <c r="W134" s="187">
        <f t="shared" si="27"/>
        <v>0</v>
      </c>
      <c r="X134" s="187">
        <f t="shared" si="28"/>
        <v>0</v>
      </c>
      <c r="Y134" s="187">
        <f t="shared" si="29"/>
        <v>0</v>
      </c>
      <c r="Z134" s="187">
        <f t="shared" si="30"/>
        <v>0</v>
      </c>
      <c r="AA134" s="183">
        <f t="shared" si="31"/>
        <v>0</v>
      </c>
      <c r="AB134" s="187">
        <f t="shared" si="32"/>
        <v>0</v>
      </c>
      <c r="AC134" s="183">
        <f t="shared" si="33"/>
        <v>0</v>
      </c>
      <c r="AD134" s="188">
        <f t="shared" si="34"/>
        <v>0.91874999999708962</v>
      </c>
      <c r="AE134" s="188">
        <f t="shared" si="35"/>
        <v>0.91874999999708962</v>
      </c>
      <c r="AF134" s="188">
        <f t="shared" si="36"/>
        <v>0</v>
      </c>
      <c r="AG134" s="188">
        <f t="shared" si="37"/>
        <v>0</v>
      </c>
    </row>
    <row r="135" spans="2:33" ht="15" customHeight="1" x14ac:dyDescent="0.15">
      <c r="B135" s="174" t="s">
        <v>19</v>
      </c>
      <c r="C135" s="175" t="s">
        <v>15</v>
      </c>
      <c r="D135" s="176" t="str">
        <f t="shared" si="19"/>
        <v>C</v>
      </c>
      <c r="E135" s="177" t="d">
        <v>2021-11-04T15:45:00.000</v>
      </c>
      <c r="F135" s="178" t="s">
        <v>77</v>
      </c>
      <c r="G135" s="179">
        <v>1788.24</v>
      </c>
      <c r="H135" s="179">
        <v>1783.17</v>
      </c>
      <c r="I135" s="180">
        <f t="shared" si="20"/>
        <v>5.0699999999999363</v>
      </c>
      <c r="J135" s="179">
        <v>1812.59</v>
      </c>
      <c r="K135" s="177" t="d">
        <v>2021-11-05T13:15:00.00000020954757600</v>
      </c>
      <c r="L135" s="179">
        <v>1793.63</v>
      </c>
      <c r="M135" s="181">
        <f t="shared" si="21"/>
        <v>5.39</v>
      </c>
      <c r="N135" s="182">
        <f t="shared" si="22"/>
        <v>1.06</v>
      </c>
      <c r="O135" s="183">
        <f t="shared" si="23"/>
        <v>0</v>
      </c>
      <c r="P135" s="184">
        <f t="shared" si="24"/>
        <v>1.06</v>
      </c>
      <c r="Q135" s="184">
        <f t="shared" si="25"/>
        <v>0</v>
      </c>
      <c r="R13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59202.5</v>
      </c>
      <c r="T13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59202.5</v>
      </c>
      <c r="U135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135" s="187">
        <f t="shared" si="26"/>
        <v>0</v>
      </c>
      <c r="W135" s="187">
        <f t="shared" si="27"/>
        <v>0</v>
      </c>
      <c r="X135" s="187">
        <f t="shared" si="28"/>
        <v>1.06</v>
      </c>
      <c r="Y135" s="187">
        <f t="shared" si="29"/>
        <v>0</v>
      </c>
      <c r="Z135" s="187">
        <f t="shared" si="30"/>
        <v>0</v>
      </c>
      <c r="AA135" s="183">
        <f t="shared" si="31"/>
        <v>0</v>
      </c>
      <c r="AB135" s="187">
        <f t="shared" si="32"/>
        <v>0</v>
      </c>
      <c r="AC135" s="183">
        <f t="shared" si="33"/>
        <v>0</v>
      </c>
      <c r="AD135" s="188">
        <f t="shared" si="34"/>
        <v>0.89583333333575865</v>
      </c>
      <c r="AE135" s="188">
        <f t="shared" si="35"/>
        <v>0.89583333333575865</v>
      </c>
      <c r="AF135" s="188">
        <f t="shared" si="36"/>
        <v>0</v>
      </c>
      <c r="AG135" s="188">
        <f t="shared" si="37"/>
        <v>0</v>
      </c>
    </row>
    <row r="136" spans="2:33" ht="15" customHeight="1" x14ac:dyDescent="0.15">
      <c r="B136" s="174" t="s">
        <v>5</v>
      </c>
      <c r="C136" s="175" t="s">
        <v>15</v>
      </c>
      <c r="D136" s="176" t="str">
        <f t="shared" si="19"/>
        <v>C</v>
      </c>
      <c r="E136" s="177" t="d">
        <v>2021-11-02T11:45:00.00000020954757600</v>
      </c>
      <c r="F136" s="178" t="s">
        <v>80</v>
      </c>
      <c r="G136" s="179">
        <v>15863.44</v>
      </c>
      <c r="H136" s="179">
        <v>15819.22</v>
      </c>
      <c r="I136" s="180">
        <f t="shared" si="20"/>
        <v>44.220000000001164</v>
      </c>
      <c r="J136" s="179">
        <v>16187.69</v>
      </c>
      <c r="K136" s="177" t="d">
        <v>2021-11-05T10:25:59.99999984633177850</v>
      </c>
      <c r="L136" s="179">
        <v>16003.31</v>
      </c>
      <c r="M136" s="181">
        <f t="shared" si="21"/>
        <v>139.87</v>
      </c>
      <c r="N136" s="182">
        <f t="shared" si="22"/>
        <v>3.16</v>
      </c>
      <c r="O136" s="183">
        <f t="shared" si="23"/>
        <v>0</v>
      </c>
      <c r="P136" s="184">
        <f t="shared" si="24"/>
        <v>3.16</v>
      </c>
      <c r="Q136" s="184">
        <f t="shared" si="25"/>
        <v>0</v>
      </c>
      <c r="R13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58937.5</v>
      </c>
      <c r="T13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58937.5</v>
      </c>
      <c r="U136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136" s="187">
        <f t="shared" si="26"/>
        <v>0</v>
      </c>
      <c r="W136" s="187">
        <f t="shared" si="27"/>
        <v>0</v>
      </c>
      <c r="X136" s="187">
        <f t="shared" si="28"/>
        <v>0</v>
      </c>
      <c r="Y136" s="187">
        <f t="shared" si="29"/>
        <v>0</v>
      </c>
      <c r="Z136" s="187">
        <f t="shared" si="30"/>
        <v>3.16</v>
      </c>
      <c r="AA136" s="183">
        <f t="shared" si="31"/>
        <v>0</v>
      </c>
      <c r="AB136" s="187">
        <f t="shared" si="32"/>
        <v>0</v>
      </c>
      <c r="AC136" s="183">
        <f t="shared" si="33"/>
        <v>0</v>
      </c>
      <c r="AD136" s="188">
        <f t="shared" si="34"/>
        <v>2.945138888884685</v>
      </c>
      <c r="AE136" s="188">
        <f t="shared" si="35"/>
        <v>2.945138888884685</v>
      </c>
      <c r="AF136" s="188">
        <f t="shared" si="36"/>
        <v>0</v>
      </c>
      <c r="AG136" s="188">
        <f t="shared" si="37"/>
        <v>0</v>
      </c>
    </row>
    <row r="137" spans="2:33" ht="15" customHeight="1" x14ac:dyDescent="0.15">
      <c r="B137" s="174" t="s">
        <v>7</v>
      </c>
      <c r="C137" s="175" t="s">
        <v>13</v>
      </c>
      <c r="D137" s="176" t="str">
        <f t="shared" si="19"/>
        <v>C</v>
      </c>
      <c r="E137" s="177" t="d">
        <v>2021-11-04T15:14:59.99999979045242400</v>
      </c>
      <c r="F137" s="178" t="s">
        <v>102</v>
      </c>
      <c r="G137" s="179">
        <v>154.42099999999999</v>
      </c>
      <c r="H137" s="179">
        <v>154.75399999999999</v>
      </c>
      <c r="I137" s="180">
        <f t="shared" si="20"/>
        <v>0.33299999999999841</v>
      </c>
      <c r="J137" s="179">
        <v>152.643</v>
      </c>
      <c r="K137" s="177" t="d">
        <v>2021-11-05T01:31:00.00000019557774075</v>
      </c>
      <c r="L137" s="179">
        <v>153.745</v>
      </c>
      <c r="M137" s="181">
        <f t="shared" si="21"/>
        <v>0.67600000000000005</v>
      </c>
      <c r="N137" s="182">
        <f t="shared" si="22"/>
        <v>2.0299999999999998</v>
      </c>
      <c r="O137" s="183">
        <f t="shared" si="23"/>
        <v>0</v>
      </c>
      <c r="P137" s="184">
        <f t="shared" si="24"/>
        <v>2.0299999999999998</v>
      </c>
      <c r="Q137" s="184">
        <f t="shared" si="25"/>
        <v>0</v>
      </c>
      <c r="R13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58147.5</v>
      </c>
      <c r="T13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58147.5</v>
      </c>
      <c r="U137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137" s="187">
        <f t="shared" si="26"/>
        <v>2.0299999999999998</v>
      </c>
      <c r="W137" s="187">
        <f t="shared" si="27"/>
        <v>0</v>
      </c>
      <c r="X137" s="187">
        <f t="shared" si="28"/>
        <v>0</v>
      </c>
      <c r="Y137" s="187">
        <f t="shared" si="29"/>
        <v>0</v>
      </c>
      <c r="Z137" s="187">
        <f t="shared" si="30"/>
        <v>0</v>
      </c>
      <c r="AA137" s="183">
        <f t="shared" si="31"/>
        <v>0</v>
      </c>
      <c r="AB137" s="187">
        <f t="shared" si="32"/>
        <v>0</v>
      </c>
      <c r="AC137" s="183">
        <f t="shared" si="33"/>
        <v>0</v>
      </c>
      <c r="AD137" s="188">
        <f t="shared" si="34"/>
        <v>0.42777777778246673</v>
      </c>
      <c r="AE137" s="188">
        <f t="shared" si="35"/>
        <v>0.42777777778246673</v>
      </c>
      <c r="AF137" s="188">
        <f t="shared" si="36"/>
        <v>0</v>
      </c>
      <c r="AG137" s="188">
        <f t="shared" si="37"/>
        <v>0</v>
      </c>
    </row>
    <row r="138" spans="2:33" ht="15" customHeight="1" x14ac:dyDescent="0.15">
      <c r="B138" s="174" t="s">
        <v>5</v>
      </c>
      <c r="C138" s="175" t="s">
        <v>15</v>
      </c>
      <c r="D138" s="176" t="str">
        <f t="shared" si="19"/>
        <v>C</v>
      </c>
      <c r="E138" s="177" t="d">
        <v>2021-11-02T15:14:59.99999979045242400</v>
      </c>
      <c r="F138" s="178" t="s">
        <v>82</v>
      </c>
      <c r="G138" s="179">
        <v>4615.83</v>
      </c>
      <c r="H138" s="179">
        <v>4601.53</v>
      </c>
      <c r="I138" s="180">
        <f t="shared" si="20"/>
        <v>14.300000000000182</v>
      </c>
      <c r="J138" s="179">
        <v>4708.76</v>
      </c>
      <c r="K138" s="177" t="d">
        <v>2021-11-04T18:24:00.00000029336660775</v>
      </c>
      <c r="L138" s="179">
        <v>4666.21</v>
      </c>
      <c r="M138" s="181">
        <f t="shared" si="21"/>
        <v>50.38</v>
      </c>
      <c r="N138" s="182">
        <f t="shared" si="22"/>
        <v>3.52</v>
      </c>
      <c r="O138" s="183">
        <f t="shared" si="23"/>
        <v>0</v>
      </c>
      <c r="P138" s="184">
        <f t="shared" si="24"/>
        <v>3.52</v>
      </c>
      <c r="Q138" s="184">
        <f t="shared" si="25"/>
        <v>0</v>
      </c>
      <c r="R13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57640</v>
      </c>
      <c r="T13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57640</v>
      </c>
      <c r="U138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138" s="187">
        <f t="shared" si="26"/>
        <v>0</v>
      </c>
      <c r="W138" s="187">
        <f t="shared" si="27"/>
        <v>0</v>
      </c>
      <c r="X138" s="187">
        <f t="shared" si="28"/>
        <v>0</v>
      </c>
      <c r="Y138" s="187">
        <f t="shared" si="29"/>
        <v>0</v>
      </c>
      <c r="Z138" s="187">
        <f t="shared" si="30"/>
        <v>3.52</v>
      </c>
      <c r="AA138" s="183">
        <f t="shared" si="31"/>
        <v>0</v>
      </c>
      <c r="AB138" s="187">
        <f t="shared" si="32"/>
        <v>0</v>
      </c>
      <c r="AC138" s="183">
        <f t="shared" si="33"/>
        <v>0</v>
      </c>
      <c r="AD138" s="188">
        <f t="shared" si="34"/>
        <v>2.1312500000058208</v>
      </c>
      <c r="AE138" s="188">
        <f t="shared" si="35"/>
        <v>2.1312500000058208</v>
      </c>
      <c r="AF138" s="188">
        <f t="shared" si="36"/>
        <v>0</v>
      </c>
      <c r="AG138" s="188">
        <f t="shared" si="37"/>
        <v>0</v>
      </c>
    </row>
    <row r="139" spans="2:33" ht="15" customHeight="1" x14ac:dyDescent="0.15">
      <c r="B139" s="174" t="s">
        <v>5</v>
      </c>
      <c r="C139" s="175" t="s">
        <v>15</v>
      </c>
      <c r="D139" s="176" t="str">
        <f t="shared" si="19"/>
        <v>C</v>
      </c>
      <c r="E139" s="177" t="d">
        <v>2021-11-03T21:59:59.99999979045242400</v>
      </c>
      <c r="F139" s="178" t="s">
        <v>81</v>
      </c>
      <c r="G139" s="179">
        <v>16092.39</v>
      </c>
      <c r="H139" s="179">
        <v>16049.82</v>
      </c>
      <c r="I139" s="180">
        <f t="shared" si="20"/>
        <v>42.569999999999709</v>
      </c>
      <c r="J139" s="179">
        <v>16347.82</v>
      </c>
      <c r="K139" s="177" t="d">
        <v>2021-11-04T16:32:59.9999999580904875</v>
      </c>
      <c r="L139" s="179">
        <v>16173.19</v>
      </c>
      <c r="M139" s="181">
        <f t="shared" si="21"/>
        <v>80.8</v>
      </c>
      <c r="N139" s="182">
        <f t="shared" si="22"/>
        <v>1.9</v>
      </c>
      <c r="O139" s="183">
        <f t="shared" si="23"/>
        <v>0</v>
      </c>
      <c r="P139" s="184">
        <f t="shared" si="24"/>
        <v>1.9</v>
      </c>
      <c r="Q139" s="184">
        <f t="shared" si="25"/>
        <v>0</v>
      </c>
      <c r="R13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56760</v>
      </c>
      <c r="T13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56845</v>
      </c>
      <c r="U139" s="186">
        <f ca="1">IF(Tabla33610673[[#This Row],[Equity]]&lt;Tabla33610673[[#This Row],[Equity Peak]],(Tabla33610673[[#This Row],[Equity Peak]]-Tabla33610673[[#This Row],[Equity]])/Tabla33610673[[#This Row],[Equity Peak]],"")</f>
        <v>1.4952942211276278E-3</v>
      </c>
      <c r="V139" s="187">
        <f t="shared" si="26"/>
        <v>0</v>
      </c>
      <c r="W139" s="187">
        <f t="shared" si="27"/>
        <v>0</v>
      </c>
      <c r="X139" s="187">
        <f t="shared" si="28"/>
        <v>0</v>
      </c>
      <c r="Y139" s="187">
        <f t="shared" si="29"/>
        <v>0</v>
      </c>
      <c r="Z139" s="187">
        <f t="shared" si="30"/>
        <v>1.9</v>
      </c>
      <c r="AA139" s="183">
        <f t="shared" si="31"/>
        <v>0</v>
      </c>
      <c r="AB139" s="187">
        <f t="shared" si="32"/>
        <v>0</v>
      </c>
      <c r="AC139" s="183">
        <f t="shared" si="33"/>
        <v>0</v>
      </c>
      <c r="AD139" s="188">
        <f t="shared" si="34"/>
        <v>0.77291666666860692</v>
      </c>
      <c r="AE139" s="188">
        <f t="shared" si="35"/>
        <v>0.77291666666860692</v>
      </c>
      <c r="AF139" s="188">
        <f t="shared" si="36"/>
        <v>0</v>
      </c>
      <c r="AG139" s="188">
        <f t="shared" si="37"/>
        <v>0</v>
      </c>
    </row>
    <row r="140" spans="2:33" ht="15" customHeight="1" x14ac:dyDescent="0.15">
      <c r="B140" s="174" t="s">
        <v>19</v>
      </c>
      <c r="C140" s="175" t="s">
        <v>13</v>
      </c>
      <c r="D140" s="176" t="str">
        <f t="shared" si="19"/>
        <v>C</v>
      </c>
      <c r="E140" s="177" t="d">
        <v>2021-11-03T03:30:00.00000020954757600</v>
      </c>
      <c r="F140" s="178" t="s">
        <v>77</v>
      </c>
      <c r="G140" s="179">
        <v>1783.51</v>
      </c>
      <c r="H140" s="179">
        <v>1788.25</v>
      </c>
      <c r="I140" s="180">
        <f t="shared" si="20"/>
        <v>4.7400000000000091</v>
      </c>
      <c r="J140" s="179">
        <v>1760.74</v>
      </c>
      <c r="K140" s="177" t="d">
        <v>2021-11-03T17:20:59.99999991618096825</v>
      </c>
      <c r="L140" s="179">
        <v>1760.74</v>
      </c>
      <c r="M140" s="181">
        <f t="shared" si="21"/>
        <v>22.77</v>
      </c>
      <c r="N140" s="182">
        <f t="shared" si="22"/>
        <v>4.8</v>
      </c>
      <c r="O140" s="183">
        <f t="shared" si="23"/>
        <v>0</v>
      </c>
      <c r="P140" s="184">
        <f t="shared" si="24"/>
        <v>4.8</v>
      </c>
      <c r="Q140" s="184">
        <f t="shared" si="25"/>
        <v>0</v>
      </c>
      <c r="R14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56285</v>
      </c>
      <c r="T14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56845</v>
      </c>
      <c r="U140" s="186">
        <f ca="1">IF(Tabla33610673[[#This Row],[Equity]]&lt;Tabla33610673[[#This Row],[Equity Peak]],(Tabla33610673[[#This Row],[Equity Peak]]-Tabla33610673[[#This Row],[Equity]])/Tabla33610673[[#This Row],[Equity Peak]],"")</f>
        <v>9.8513501627231943E-3</v>
      </c>
      <c r="V140" s="187">
        <f t="shared" si="26"/>
        <v>0</v>
      </c>
      <c r="W140" s="187">
        <f t="shared" si="27"/>
        <v>0</v>
      </c>
      <c r="X140" s="187">
        <f t="shared" si="28"/>
        <v>4.8</v>
      </c>
      <c r="Y140" s="187">
        <f t="shared" si="29"/>
        <v>0</v>
      </c>
      <c r="Z140" s="187">
        <f t="shared" si="30"/>
        <v>0</v>
      </c>
      <c r="AA140" s="183">
        <f t="shared" si="31"/>
        <v>0</v>
      </c>
      <c r="AB140" s="187">
        <f t="shared" si="32"/>
        <v>0</v>
      </c>
      <c r="AC140" s="183">
        <f t="shared" si="33"/>
        <v>0</v>
      </c>
      <c r="AD140" s="188">
        <f t="shared" si="34"/>
        <v>0.57708333332993789</v>
      </c>
      <c r="AE140" s="188">
        <f t="shared" si="35"/>
        <v>0.57708333332993789</v>
      </c>
      <c r="AF140" s="188">
        <f t="shared" si="36"/>
        <v>0</v>
      </c>
      <c r="AG140" s="188">
        <f t="shared" si="37"/>
        <v>0</v>
      </c>
    </row>
    <row r="141" spans="2:33" ht="15" customHeight="1" x14ac:dyDescent="0.15">
      <c r="B141" s="174" t="s">
        <v>5</v>
      </c>
      <c r="C141" s="175" t="s">
        <v>15</v>
      </c>
      <c r="D141" s="176" t="str">
        <f t="shared" si="19"/>
        <v>C</v>
      </c>
      <c r="E141" s="177" t="d">
        <v>2021-11-02T18:45:00.000</v>
      </c>
      <c r="F141" s="178" t="s">
        <v>81</v>
      </c>
      <c r="G141" s="179">
        <v>15980.76</v>
      </c>
      <c r="H141" s="179">
        <v>15934.72</v>
      </c>
      <c r="I141" s="180">
        <f t="shared" si="20"/>
        <v>46.040000000000873</v>
      </c>
      <c r="J141" s="179">
        <v>16256.99</v>
      </c>
      <c r="K141" s="177" t="d">
        <v>2021-11-02T19:02:59.99999974854290475</v>
      </c>
      <c r="L141" s="179">
        <v>15934.72</v>
      </c>
      <c r="M141" s="181">
        <f t="shared" si="21"/>
        <v>-46.04</v>
      </c>
      <c r="N141" s="182">
        <f t="shared" si="22"/>
        <v>-1</v>
      </c>
      <c r="O141" s="183">
        <f t="shared" si="23"/>
        <v>0</v>
      </c>
      <c r="P141" s="184">
        <f t="shared" si="24"/>
        <v>0</v>
      </c>
      <c r="Q141" s="184">
        <f t="shared" si="25"/>
        <v>-1</v>
      </c>
      <c r="R14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55085</v>
      </c>
      <c r="T14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56845</v>
      </c>
      <c r="U141" s="186">
        <f ca="1">IF(Tabla33610673[[#This Row],[Equity]]&lt;Tabla33610673[[#This Row],[Equity Peak]],(Tabla33610673[[#This Row],[Equity Peak]]-Tabla33610673[[#This Row],[Equity]])/Tabla33610673[[#This Row],[Equity Peak]],"")</f>
        <v>3.0961386225701468E-2</v>
      </c>
      <c r="V141" s="187">
        <f t="shared" si="26"/>
        <v>0</v>
      </c>
      <c r="W141" s="187">
        <f t="shared" si="27"/>
        <v>0</v>
      </c>
      <c r="X141" s="187">
        <f t="shared" si="28"/>
        <v>0</v>
      </c>
      <c r="Y141" s="187">
        <f t="shared" si="29"/>
        <v>0</v>
      </c>
      <c r="Z141" s="187">
        <f t="shared" si="30"/>
        <v>-1</v>
      </c>
      <c r="AA141" s="183">
        <f t="shared" si="31"/>
        <v>0</v>
      </c>
      <c r="AB141" s="187">
        <f t="shared" si="32"/>
        <v>0</v>
      </c>
      <c r="AC141" s="183">
        <f t="shared" si="33"/>
        <v>0</v>
      </c>
      <c r="AD141" s="188">
        <f t="shared" si="34"/>
        <v>1.2499999997089617E-2</v>
      </c>
      <c r="AE141" s="188">
        <f t="shared" si="35"/>
        <v>0</v>
      </c>
      <c r="AF141" s="188">
        <f t="shared" si="36"/>
        <v>1.2499999997089617E-2</v>
      </c>
      <c r="AG141" s="188">
        <f t="shared" si="37"/>
        <v>0</v>
      </c>
    </row>
    <row r="142" spans="2:33" ht="15" customHeight="1" x14ac:dyDescent="0.15">
      <c r="B142" s="174" t="s">
        <v>5</v>
      </c>
      <c r="C142" s="175" t="s">
        <v>15</v>
      </c>
      <c r="D142" s="176" t="str">
        <f t="shared" si="19"/>
        <v>C</v>
      </c>
      <c r="E142" s="177" t="d">
        <v>2021-11-02T16:44:59.99999979045242400</v>
      </c>
      <c r="F142" s="178" t="s">
        <v>81</v>
      </c>
      <c r="G142" s="179">
        <v>15957.51</v>
      </c>
      <c r="H142" s="179">
        <v>15911.89</v>
      </c>
      <c r="I142" s="180">
        <f t="shared" si="20"/>
        <v>45.6200000000008</v>
      </c>
      <c r="J142" s="179">
        <v>16231.22</v>
      </c>
      <c r="K142" s="177" t="d">
        <v>2021-11-02T17:13:00.00000023748725325</v>
      </c>
      <c r="L142" s="179">
        <v>15911.89</v>
      </c>
      <c r="M142" s="181">
        <f t="shared" si="21"/>
        <v>-45.62</v>
      </c>
      <c r="N142" s="182">
        <f t="shared" si="22"/>
        <v>-1</v>
      </c>
      <c r="O142" s="183">
        <f t="shared" si="23"/>
        <v>0</v>
      </c>
      <c r="P142" s="184">
        <f t="shared" si="24"/>
        <v>0</v>
      </c>
      <c r="Q142" s="184">
        <f t="shared" si="25"/>
        <v>-1</v>
      </c>
      <c r="R14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55335</v>
      </c>
      <c r="T14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56845</v>
      </c>
      <c r="U142" s="186">
        <f ca="1">IF(Tabla33610673[[#This Row],[Equity]]&lt;Tabla33610673[[#This Row],[Equity Peak]],(Tabla33610673[[#This Row],[Equity Peak]]-Tabla33610673[[#This Row],[Equity]])/Tabla33610673[[#This Row],[Equity Peak]],"")</f>
        <v>2.6563462045914327E-2</v>
      </c>
      <c r="V142" s="187">
        <f t="shared" si="26"/>
        <v>0</v>
      </c>
      <c r="W142" s="187">
        <f t="shared" si="27"/>
        <v>0</v>
      </c>
      <c r="X142" s="187">
        <f t="shared" si="28"/>
        <v>0</v>
      </c>
      <c r="Y142" s="187">
        <f t="shared" si="29"/>
        <v>0</v>
      </c>
      <c r="Z142" s="187">
        <f t="shared" si="30"/>
        <v>-1</v>
      </c>
      <c r="AA142" s="183">
        <f t="shared" si="31"/>
        <v>0</v>
      </c>
      <c r="AB142" s="187">
        <f t="shared" si="32"/>
        <v>0</v>
      </c>
      <c r="AC142" s="183">
        <f t="shared" si="33"/>
        <v>0</v>
      </c>
      <c r="AD142" s="188">
        <f t="shared" si="34"/>
        <v>1.9444444449618459E-2</v>
      </c>
      <c r="AE142" s="188">
        <f t="shared" si="35"/>
        <v>0</v>
      </c>
      <c r="AF142" s="188">
        <f t="shared" si="36"/>
        <v>1.9444444449618459E-2</v>
      </c>
      <c r="AG142" s="188">
        <f t="shared" si="37"/>
        <v>0</v>
      </c>
    </row>
    <row r="143" spans="2:33" ht="15" customHeight="1" x14ac:dyDescent="0.15">
      <c r="B143" s="174" t="s">
        <v>19</v>
      </c>
      <c r="C143" s="175" t="s">
        <v>15</v>
      </c>
      <c r="D143" s="176" t="str">
        <f t="shared" si="19"/>
        <v>C</v>
      </c>
      <c r="E143" s="177" t="d">
        <v>2021-11-01T17:00:00.00000020954757600</v>
      </c>
      <c r="F143" s="178" t="s">
        <v>77</v>
      </c>
      <c r="G143" s="179">
        <v>1792.37</v>
      </c>
      <c r="H143" s="179">
        <v>1787.47</v>
      </c>
      <c r="I143" s="180">
        <f t="shared" si="20"/>
        <v>4.8999999999998636</v>
      </c>
      <c r="J143" s="179">
        <v>1815.87</v>
      </c>
      <c r="K143" s="177" t="d">
        <v>2021-11-02T17:07:59.99999988824129100</v>
      </c>
      <c r="L143" s="179">
        <v>1787.47</v>
      </c>
      <c r="M143" s="181">
        <f t="shared" si="21"/>
        <v>-4.9000000000000004</v>
      </c>
      <c r="N143" s="182">
        <f t="shared" si="22"/>
        <v>-1</v>
      </c>
      <c r="O143" s="183">
        <f t="shared" si="23"/>
        <v>0</v>
      </c>
      <c r="P143" s="184">
        <f t="shared" si="24"/>
        <v>0</v>
      </c>
      <c r="Q143" s="184">
        <f t="shared" si="25"/>
        <v>-1</v>
      </c>
      <c r="R14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55585</v>
      </c>
      <c r="T14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56845</v>
      </c>
      <c r="U143" s="186">
        <f ca="1">IF(Tabla33610673[[#This Row],[Equity]]&lt;Tabla33610673[[#This Row],[Equity Peak]],(Tabla33610673[[#This Row],[Equity Peak]]-Tabla33610673[[#This Row],[Equity]])/Tabla33610673[[#This Row],[Equity Peak]],"")</f>
        <v>2.2165537866127186E-2</v>
      </c>
      <c r="V143" s="187">
        <f t="shared" si="26"/>
        <v>0</v>
      </c>
      <c r="W143" s="187">
        <f t="shared" si="27"/>
        <v>0</v>
      </c>
      <c r="X143" s="187">
        <f t="shared" si="28"/>
        <v>-1</v>
      </c>
      <c r="Y143" s="187">
        <f t="shared" si="29"/>
        <v>0</v>
      </c>
      <c r="Z143" s="187">
        <f t="shared" si="30"/>
        <v>0</v>
      </c>
      <c r="AA143" s="183">
        <f t="shared" si="31"/>
        <v>0</v>
      </c>
      <c r="AB143" s="187">
        <f t="shared" si="32"/>
        <v>0</v>
      </c>
      <c r="AC143" s="183">
        <f t="shared" si="33"/>
        <v>0</v>
      </c>
      <c r="AD143" s="188">
        <f t="shared" si="34"/>
        <v>1.0055555555518367</v>
      </c>
      <c r="AE143" s="188">
        <f t="shared" si="35"/>
        <v>0</v>
      </c>
      <c r="AF143" s="188">
        <f t="shared" si="36"/>
        <v>1.0055555555518367</v>
      </c>
      <c r="AG143" s="188">
        <f t="shared" si="37"/>
        <v>0</v>
      </c>
    </row>
    <row r="144" spans="2:33" ht="15" customHeight="1" x14ac:dyDescent="0.15">
      <c r="B144" s="174" t="s">
        <v>7</v>
      </c>
      <c r="C144" s="175" t="s">
        <v>13</v>
      </c>
      <c r="D144" s="176" t="str">
        <f t="shared" si="19"/>
        <v>C</v>
      </c>
      <c r="E144" s="177" t="d">
        <v>2021-11-01T21:14:59.99999979045242400</v>
      </c>
      <c r="F144" s="178" t="s">
        <v>102</v>
      </c>
      <c r="G144" s="179">
        <v>155.71100000000001</v>
      </c>
      <c r="H144" s="179">
        <v>156.1</v>
      </c>
      <c r="I144" s="180">
        <f t="shared" si="20"/>
        <v>0.38899999999998158</v>
      </c>
      <c r="J144" s="179">
        <v>153.63399999999999</v>
      </c>
      <c r="K144" s="177" t="d">
        <v>2021-11-02T15:01:00.00000019557774075</v>
      </c>
      <c r="L144" s="179">
        <v>155.22999999999999</v>
      </c>
      <c r="M144" s="181">
        <f t="shared" si="21"/>
        <v>0.48099999999999998</v>
      </c>
      <c r="N144" s="182">
        <f t="shared" si="22"/>
        <v>1.24</v>
      </c>
      <c r="O144" s="183">
        <f t="shared" si="23"/>
        <v>0</v>
      </c>
      <c r="P144" s="184">
        <f t="shared" si="24"/>
        <v>1.24</v>
      </c>
      <c r="Q144" s="184">
        <f t="shared" si="25"/>
        <v>0</v>
      </c>
      <c r="R14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55835</v>
      </c>
      <c r="T14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56845</v>
      </c>
      <c r="U144" s="186">
        <f ca="1">IF(Tabla33610673[[#This Row],[Equity]]&lt;Tabla33610673[[#This Row],[Equity Peak]],(Tabla33610673[[#This Row],[Equity Peak]]-Tabla33610673[[#This Row],[Equity]])/Tabla33610673[[#This Row],[Equity Peak]],"")</f>
        <v>1.7767613686340049E-2</v>
      </c>
      <c r="V144" s="187">
        <f t="shared" si="26"/>
        <v>1.24</v>
      </c>
      <c r="W144" s="187">
        <f t="shared" si="27"/>
        <v>0</v>
      </c>
      <c r="X144" s="187">
        <f t="shared" si="28"/>
        <v>0</v>
      </c>
      <c r="Y144" s="187">
        <f t="shared" si="29"/>
        <v>0</v>
      </c>
      <c r="Z144" s="187">
        <f t="shared" si="30"/>
        <v>0</v>
      </c>
      <c r="AA144" s="183">
        <f t="shared" si="31"/>
        <v>0</v>
      </c>
      <c r="AB144" s="187">
        <f t="shared" si="32"/>
        <v>0</v>
      </c>
      <c r="AC144" s="183">
        <f t="shared" si="33"/>
        <v>0</v>
      </c>
      <c r="AD144" s="188">
        <f t="shared" si="34"/>
        <v>0.74027777778246673</v>
      </c>
      <c r="AE144" s="188">
        <f t="shared" si="35"/>
        <v>0.74027777778246673</v>
      </c>
      <c r="AF144" s="188">
        <f t="shared" si="36"/>
        <v>0</v>
      </c>
      <c r="AG144" s="188">
        <f t="shared" si="37"/>
        <v>0</v>
      </c>
    </row>
    <row r="145" spans="2:33" ht="15" customHeight="1" x14ac:dyDescent="0.15">
      <c r="B145" s="174" t="s">
        <v>5</v>
      </c>
      <c r="C145" s="175" t="s">
        <v>15</v>
      </c>
      <c r="D145" s="176" t="str">
        <f t="shared" ref="D145:D208" si="38">IF(E145&lt;&gt;"",IF(K145&lt;&gt;"","C","O"),"")</f>
        <v>C</v>
      </c>
      <c r="E145" s="177" t="d">
        <v>2021-10-29T23:00:00.00000020954757600</v>
      </c>
      <c r="F145" s="178" t="s">
        <v>82</v>
      </c>
      <c r="G145" s="179">
        <v>4604.68</v>
      </c>
      <c r="H145" s="179">
        <v>4589.68</v>
      </c>
      <c r="I145" s="180">
        <f t="shared" ref="I145:I208" si="39">ABS(G145-H145)</f>
        <v>15</v>
      </c>
      <c r="J145" s="179">
        <v>4702.1499999999996</v>
      </c>
      <c r="K145" s="177" t="d">
        <v>2021-11-01T16:37:00.00000011175870900</v>
      </c>
      <c r="L145" s="179">
        <v>4610.71</v>
      </c>
      <c r="M145" s="181">
        <f t="shared" ref="M145:M208" si="40">ROUND(IF(C145="L",(L145-G145),(G145-L145)),4)</f>
        <v>6.03</v>
      </c>
      <c r="N145" s="182">
        <f t="shared" ref="N145:N208" si="41">IFERROR(ROUND((M145/I145),2),"")</f>
        <v>0.4</v>
      </c>
      <c r="O145" s="183">
        <f t="shared" ref="O145:O208" si="42">IF(D145="O",IF(N145&lt;0,N145,0),0)</f>
        <v>0</v>
      </c>
      <c r="P145" s="184">
        <f t="shared" ref="P145:P208" si="43">IF(N145&gt;= 0,N145,0)</f>
        <v>0.4</v>
      </c>
      <c r="Q145" s="184">
        <f t="shared" ref="Q145:Q208" si="44">IF(N145&lt;0,N145,0)</f>
        <v>0</v>
      </c>
      <c r="R14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55525</v>
      </c>
      <c r="T14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56845</v>
      </c>
      <c r="U145" s="186">
        <f ca="1">IF(Tabla33610673[[#This Row],[Equity]]&lt;Tabla33610673[[#This Row],[Equity Peak]],(Tabla33610673[[#This Row],[Equity Peak]]-Tabla33610673[[#This Row],[Equity]])/Tabla33610673[[#This Row],[Equity Peak]],"")</f>
        <v>2.3221039669276102E-2</v>
      </c>
      <c r="V145" s="187">
        <f t="shared" ref="V145:V208" si="45">IF(B145="FX",N145,0)</f>
        <v>0</v>
      </c>
      <c r="W145" s="187">
        <f t="shared" ref="W145:W208" si="46">IF(D145="O",IF(V145&lt;0,V145,0),0)</f>
        <v>0</v>
      </c>
      <c r="X145" s="187">
        <f t="shared" ref="X145:X208" si="47">IF(B145="COM",N145,0)</f>
        <v>0</v>
      </c>
      <c r="Y145" s="187">
        <f t="shared" ref="Y145:Y208" si="48">IF(D145="O",IF(X145&lt;0,X145,0),0)</f>
        <v>0</v>
      </c>
      <c r="Z145" s="187">
        <f t="shared" ref="Z145:Z208" si="49">IF(B145="IND",N145,0)</f>
        <v>0.4</v>
      </c>
      <c r="AA145" s="183">
        <f t="shared" ref="AA145:AA208" si="50">IF(D145="O",IF(Z145&lt;0,Z145,0),0)</f>
        <v>0</v>
      </c>
      <c r="AB145" s="187">
        <f t="shared" ref="AB145:AB208" si="51">IF(B145="CRYPTO",N145,0)</f>
        <v>0</v>
      </c>
      <c r="AC145" s="183">
        <f t="shared" ref="AC145:AC208" si="52">IF(D145="O",IF(AB145&lt;0,AB145,0),0)</f>
        <v>0</v>
      </c>
      <c r="AD145" s="188">
        <f t="shared" ref="AD145:AD208" si="53">IF(K145&lt;&gt;"",K145-E145,0)</f>
        <v>2.734027777776646</v>
      </c>
      <c r="AE145" s="188">
        <f t="shared" ref="AE145:AE208" si="54">IF(N145&gt;0,AD145,0)</f>
        <v>2.734027777776646</v>
      </c>
      <c r="AF145" s="188">
        <f t="shared" ref="AF145:AF208" si="55">IF(N145&lt;0,AD145,0)</f>
        <v>0</v>
      </c>
      <c r="AG145" s="188">
        <f t="shared" ref="AG145:AG208" si="56">IF(N145=0,AD145,0)</f>
        <v>0</v>
      </c>
    </row>
    <row r="146" spans="2:33" ht="15" customHeight="1" x14ac:dyDescent="0.15">
      <c r="B146" s="174" t="s">
        <v>5</v>
      </c>
      <c r="C146" s="175" t="s">
        <v>15</v>
      </c>
      <c r="D146" s="176" t="str">
        <f t="shared" si="38"/>
        <v>C</v>
      </c>
      <c r="E146" s="177" t="d">
        <v>2021-11-01T11:15:00.000</v>
      </c>
      <c r="F146" s="178" t="s">
        <v>80</v>
      </c>
      <c r="G146" s="179">
        <v>15787.6</v>
      </c>
      <c r="H146" s="179">
        <v>15732.94</v>
      </c>
      <c r="I146" s="180">
        <f t="shared" si="39"/>
        <v>54.659999999999854</v>
      </c>
      <c r="J146" s="179">
        <v>16188.42</v>
      </c>
      <c r="K146" s="177" t="d">
        <v>2021-11-01T16:31:00.00000019557774075</v>
      </c>
      <c r="L146" s="179">
        <v>15755.93</v>
      </c>
      <c r="M146" s="181">
        <f t="shared" si="40"/>
        <v>-31.67</v>
      </c>
      <c r="N146" s="182">
        <f t="shared" si="41"/>
        <v>-0.57999999999999996</v>
      </c>
      <c r="O146" s="183">
        <f t="shared" si="42"/>
        <v>0</v>
      </c>
      <c r="P146" s="184">
        <f t="shared" si="43"/>
        <v>0</v>
      </c>
      <c r="Q146" s="184">
        <f t="shared" si="44"/>
        <v>-0.57999999999999996</v>
      </c>
      <c r="R14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55425</v>
      </c>
      <c r="T14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56845</v>
      </c>
      <c r="U146" s="186">
        <f ca="1">IF(Tabla33610673[[#This Row],[Equity]]&lt;Tabla33610673[[#This Row],[Equity Peak]],(Tabla33610673[[#This Row],[Equity Peak]]-Tabla33610673[[#This Row],[Equity]])/Tabla33610673[[#This Row],[Equity Peak]],"")</f>
        <v>2.4980209341190957E-2</v>
      </c>
      <c r="V146" s="187">
        <f t="shared" si="45"/>
        <v>0</v>
      </c>
      <c r="W146" s="187">
        <f t="shared" si="46"/>
        <v>0</v>
      </c>
      <c r="X146" s="187">
        <f t="shared" si="47"/>
        <v>0</v>
      </c>
      <c r="Y146" s="187">
        <f t="shared" si="48"/>
        <v>0</v>
      </c>
      <c r="Z146" s="187">
        <f t="shared" si="49"/>
        <v>-0.57999999999999996</v>
      </c>
      <c r="AA146" s="183">
        <f t="shared" si="50"/>
        <v>0</v>
      </c>
      <c r="AB146" s="187">
        <f t="shared" si="51"/>
        <v>0</v>
      </c>
      <c r="AC146" s="183">
        <f t="shared" si="52"/>
        <v>0</v>
      </c>
      <c r="AD146" s="188">
        <f t="shared" si="53"/>
        <v>0.21944444444670808</v>
      </c>
      <c r="AE146" s="188">
        <f t="shared" si="54"/>
        <v>0</v>
      </c>
      <c r="AF146" s="188">
        <f t="shared" si="55"/>
        <v>0.21944444444670808</v>
      </c>
      <c r="AG146" s="188">
        <f t="shared" si="56"/>
        <v>0</v>
      </c>
    </row>
    <row r="147" spans="2:33" ht="15" customHeight="1" x14ac:dyDescent="0.15">
      <c r="B147" s="174" t="s">
        <v>5</v>
      </c>
      <c r="C147" s="175" t="s">
        <v>15</v>
      </c>
      <c r="D147" s="176" t="str">
        <f t="shared" si="38"/>
        <v>C</v>
      </c>
      <c r="E147" s="177" t="d">
        <v>2021-10-29T19:30:00.000</v>
      </c>
      <c r="F147" s="178" t="s">
        <v>81</v>
      </c>
      <c r="G147" s="179">
        <v>15801.72</v>
      </c>
      <c r="H147" s="179">
        <v>15746.39</v>
      </c>
      <c r="I147" s="180">
        <f t="shared" si="39"/>
        <v>55.329999999999927</v>
      </c>
      <c r="J147" s="179">
        <v>16133.7</v>
      </c>
      <c r="K147" s="177" t="d">
        <v>2021-11-01T16:06:59.99999990221113300</v>
      </c>
      <c r="L147" s="179">
        <v>15865.09</v>
      </c>
      <c r="M147" s="181">
        <f t="shared" si="40"/>
        <v>63.37</v>
      </c>
      <c r="N147" s="182">
        <f t="shared" si="41"/>
        <v>1.1499999999999999</v>
      </c>
      <c r="O147" s="183">
        <f t="shared" si="42"/>
        <v>0</v>
      </c>
      <c r="P147" s="184">
        <f t="shared" si="43"/>
        <v>1.1499999999999999</v>
      </c>
      <c r="Q147" s="184">
        <f t="shared" si="44"/>
        <v>0</v>
      </c>
      <c r="R14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55570</v>
      </c>
      <c r="T14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56845</v>
      </c>
      <c r="U147" s="186">
        <f ca="1">IF(Tabla33610673[[#This Row],[Equity]]&lt;Tabla33610673[[#This Row],[Equity Peak]],(Tabla33610673[[#This Row],[Equity Peak]]-Tabla33610673[[#This Row],[Equity]])/Tabla33610673[[#This Row],[Equity Peak]],"")</f>
        <v>2.2429413316914417E-2</v>
      </c>
      <c r="V147" s="187">
        <f t="shared" si="45"/>
        <v>0</v>
      </c>
      <c r="W147" s="187">
        <f t="shared" si="46"/>
        <v>0</v>
      </c>
      <c r="X147" s="187">
        <f t="shared" si="47"/>
        <v>0</v>
      </c>
      <c r="Y147" s="187">
        <f t="shared" si="48"/>
        <v>0</v>
      </c>
      <c r="Z147" s="187">
        <f t="shared" si="49"/>
        <v>1.1499999999999999</v>
      </c>
      <c r="AA147" s="183">
        <f t="shared" si="50"/>
        <v>0</v>
      </c>
      <c r="AB147" s="187">
        <f t="shared" si="51"/>
        <v>0</v>
      </c>
      <c r="AC147" s="183">
        <f t="shared" si="52"/>
        <v>0</v>
      </c>
      <c r="AD147" s="188">
        <f t="shared" si="53"/>
        <v>2.859027777776646</v>
      </c>
      <c r="AE147" s="188">
        <f t="shared" si="54"/>
        <v>2.859027777776646</v>
      </c>
      <c r="AF147" s="188">
        <f t="shared" si="55"/>
        <v>0</v>
      </c>
      <c r="AG147" s="188">
        <f t="shared" si="56"/>
        <v>0</v>
      </c>
    </row>
    <row r="148" spans="2:33" ht="15" customHeight="1" x14ac:dyDescent="0.15">
      <c r="B148" s="174" t="s">
        <v>19</v>
      </c>
      <c r="C148" s="175" t="s">
        <v>13</v>
      </c>
      <c r="D148" s="176" t="str">
        <f t="shared" si="38"/>
        <v>C</v>
      </c>
      <c r="E148" s="177" t="d">
        <v>2021-10-29T15:45:00.000</v>
      </c>
      <c r="F148" s="178" t="s">
        <v>77</v>
      </c>
      <c r="G148" s="179">
        <v>1783.67</v>
      </c>
      <c r="H148" s="179">
        <v>1788.67</v>
      </c>
      <c r="I148" s="180">
        <f t="shared" si="39"/>
        <v>5</v>
      </c>
      <c r="J148" s="179">
        <v>1759.69</v>
      </c>
      <c r="K148" s="177" t="d">
        <v>2021-11-01T04:44:59.99999979045242400</v>
      </c>
      <c r="L148" s="179">
        <v>1784.33</v>
      </c>
      <c r="M148" s="181">
        <f t="shared" si="40"/>
        <v>-0.66</v>
      </c>
      <c r="N148" s="182">
        <f t="shared" si="41"/>
        <v>-0.13</v>
      </c>
      <c r="O148" s="183">
        <f t="shared" si="42"/>
        <v>0</v>
      </c>
      <c r="P148" s="184">
        <f t="shared" si="43"/>
        <v>0</v>
      </c>
      <c r="Q148" s="184">
        <f t="shared" si="44"/>
        <v>-0.13</v>
      </c>
      <c r="R14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55282.5</v>
      </c>
      <c r="T14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56845</v>
      </c>
      <c r="U148" s="186">
        <f ca="1">IF(Tabla33610673[[#This Row],[Equity]]&lt;Tabla33610673[[#This Row],[Equity Peak]],(Tabla33610673[[#This Row],[Equity Peak]]-Tabla33610673[[#This Row],[Equity]])/Tabla33610673[[#This Row],[Equity Peak]],"")</f>
        <v>2.7487026123669628E-2</v>
      </c>
      <c r="V148" s="187">
        <f t="shared" si="45"/>
        <v>0</v>
      </c>
      <c r="W148" s="187">
        <f t="shared" si="46"/>
        <v>0</v>
      </c>
      <c r="X148" s="187">
        <f t="shared" si="47"/>
        <v>-0.13</v>
      </c>
      <c r="Y148" s="187">
        <f t="shared" si="48"/>
        <v>0</v>
      </c>
      <c r="Z148" s="187">
        <f t="shared" si="49"/>
        <v>0</v>
      </c>
      <c r="AA148" s="183">
        <f t="shared" si="50"/>
        <v>0</v>
      </c>
      <c r="AB148" s="187">
        <f t="shared" si="51"/>
        <v>0</v>
      </c>
      <c r="AC148" s="183">
        <f t="shared" si="52"/>
        <v>0</v>
      </c>
      <c r="AD148" s="188">
        <f t="shared" si="53"/>
        <v>2.5416666666642413</v>
      </c>
      <c r="AE148" s="188">
        <f t="shared" si="54"/>
        <v>0</v>
      </c>
      <c r="AF148" s="188">
        <f t="shared" si="55"/>
        <v>2.5416666666642413</v>
      </c>
      <c r="AG148" s="188">
        <f t="shared" si="56"/>
        <v>0</v>
      </c>
    </row>
    <row r="149" spans="2:33" ht="15" customHeight="1" x14ac:dyDescent="0.15">
      <c r="B149" s="174" t="s">
        <v>5</v>
      </c>
      <c r="C149" s="175" t="s">
        <v>15</v>
      </c>
      <c r="D149" s="176" t="str">
        <f t="shared" si="38"/>
        <v>C</v>
      </c>
      <c r="E149" s="177" t="d">
        <v>2021-10-29T18:14:59.99999979045242400</v>
      </c>
      <c r="F149" s="178" t="s">
        <v>82</v>
      </c>
      <c r="G149" s="179">
        <v>4590.97</v>
      </c>
      <c r="H149" s="179">
        <v>4576.49</v>
      </c>
      <c r="I149" s="180">
        <f t="shared" si="39"/>
        <v>14.480000000000473</v>
      </c>
      <c r="J149" s="179">
        <v>4685.1000000000004</v>
      </c>
      <c r="K149" s="177" t="d">
        <v>2021-10-29T22:16:59.99999997206032275</v>
      </c>
      <c r="L149" s="179">
        <v>4588.55</v>
      </c>
      <c r="M149" s="181">
        <f t="shared" si="40"/>
        <v>-2.42</v>
      </c>
      <c r="N149" s="182">
        <f t="shared" si="41"/>
        <v>-0.17</v>
      </c>
      <c r="O149" s="183">
        <f t="shared" si="42"/>
        <v>0</v>
      </c>
      <c r="P149" s="184">
        <f t="shared" si="43"/>
        <v>0</v>
      </c>
      <c r="Q149" s="184">
        <f t="shared" si="44"/>
        <v>-0.17</v>
      </c>
      <c r="R14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55315</v>
      </c>
      <c r="T14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56845</v>
      </c>
      <c r="U149" s="186">
        <f ca="1">IF(Tabla33610673[[#This Row],[Equity]]&lt;Tabla33610673[[#This Row],[Equity Peak]],(Tabla33610673[[#This Row],[Equity Peak]]-Tabla33610673[[#This Row],[Equity]])/Tabla33610673[[#This Row],[Equity Peak]],"")</f>
        <v>2.69152959802973E-2</v>
      </c>
      <c r="V149" s="187">
        <f t="shared" si="45"/>
        <v>0</v>
      </c>
      <c r="W149" s="187">
        <f t="shared" si="46"/>
        <v>0</v>
      </c>
      <c r="X149" s="187">
        <f t="shared" si="47"/>
        <v>0</v>
      </c>
      <c r="Y149" s="187">
        <f t="shared" si="48"/>
        <v>0</v>
      </c>
      <c r="Z149" s="187">
        <f t="shared" si="49"/>
        <v>-0.17</v>
      </c>
      <c r="AA149" s="183">
        <f t="shared" si="50"/>
        <v>0</v>
      </c>
      <c r="AB149" s="187">
        <f t="shared" si="51"/>
        <v>0</v>
      </c>
      <c r="AC149" s="183">
        <f t="shared" si="52"/>
        <v>0</v>
      </c>
      <c r="AD149" s="188">
        <f t="shared" si="53"/>
        <v>0.1680555555576575</v>
      </c>
      <c r="AE149" s="188">
        <f t="shared" si="54"/>
        <v>0</v>
      </c>
      <c r="AF149" s="188">
        <f t="shared" si="55"/>
        <v>0.1680555555576575</v>
      </c>
      <c r="AG149" s="188">
        <f t="shared" si="56"/>
        <v>0</v>
      </c>
    </row>
    <row r="150" spans="2:33" ht="15" customHeight="1" x14ac:dyDescent="0.15">
      <c r="B150" s="174" t="s">
        <v>19</v>
      </c>
      <c r="C150" s="175" t="s">
        <v>13</v>
      </c>
      <c r="D150" s="176" t="str">
        <f t="shared" si="38"/>
        <v>C</v>
      </c>
      <c r="E150" s="177" t="d">
        <v>2021-10-29T15:14:59.99999979045242400</v>
      </c>
      <c r="F150" s="178" t="s">
        <v>77</v>
      </c>
      <c r="G150" s="179">
        <v>1786.66</v>
      </c>
      <c r="H150" s="179">
        <v>1791.59</v>
      </c>
      <c r="I150" s="180">
        <f t="shared" si="39"/>
        <v>4.9299999999998363</v>
      </c>
      <c r="J150" s="179">
        <v>1763.01</v>
      </c>
      <c r="K150" s="177" t="d">
        <v>2021-10-29T15:33:00.00000016763806350</v>
      </c>
      <c r="L150" s="179">
        <v>1791.59</v>
      </c>
      <c r="M150" s="181">
        <f t="shared" si="40"/>
        <v>-4.93</v>
      </c>
      <c r="N150" s="182">
        <f t="shared" si="41"/>
        <v>-1</v>
      </c>
      <c r="O150" s="183">
        <f t="shared" si="42"/>
        <v>0</v>
      </c>
      <c r="P150" s="184">
        <f t="shared" si="43"/>
        <v>0</v>
      </c>
      <c r="Q150" s="184">
        <f t="shared" si="44"/>
        <v>-1</v>
      </c>
      <c r="R15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55357.5</v>
      </c>
      <c r="T15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56845</v>
      </c>
      <c r="U150" s="186">
        <f ca="1">IF(Tabla33610673[[#This Row],[Equity]]&lt;Tabla33610673[[#This Row],[Equity Peak]],(Tabla33610673[[#This Row],[Equity Peak]]-Tabla33610673[[#This Row],[Equity]])/Tabla33610673[[#This Row],[Equity Peak]],"")</f>
        <v>2.6167648869733485E-2</v>
      </c>
      <c r="V150" s="187">
        <f t="shared" si="45"/>
        <v>0</v>
      </c>
      <c r="W150" s="187">
        <f t="shared" si="46"/>
        <v>0</v>
      </c>
      <c r="X150" s="187">
        <f t="shared" si="47"/>
        <v>-1</v>
      </c>
      <c r="Y150" s="187">
        <f t="shared" si="48"/>
        <v>0</v>
      </c>
      <c r="Z150" s="187">
        <f t="shared" si="49"/>
        <v>0</v>
      </c>
      <c r="AA150" s="183">
        <f t="shared" si="50"/>
        <v>0</v>
      </c>
      <c r="AB150" s="187">
        <f t="shared" si="51"/>
        <v>0</v>
      </c>
      <c r="AC150" s="183">
        <f t="shared" si="52"/>
        <v>0</v>
      </c>
      <c r="AD150" s="188">
        <f t="shared" si="53"/>
        <v>1.2500000004365575E-2</v>
      </c>
      <c r="AE150" s="188">
        <f t="shared" si="54"/>
        <v>0</v>
      </c>
      <c r="AF150" s="188">
        <f t="shared" si="55"/>
        <v>1.2500000004365575E-2</v>
      </c>
      <c r="AG150" s="188">
        <f t="shared" si="56"/>
        <v>0</v>
      </c>
    </row>
    <row r="151" spans="2:33" ht="15" customHeight="1" x14ac:dyDescent="0.15">
      <c r="B151" s="174" t="s">
        <v>5</v>
      </c>
      <c r="C151" s="175" t="s">
        <v>13</v>
      </c>
      <c r="D151" s="176" t="str">
        <f t="shared" si="38"/>
        <v>C</v>
      </c>
      <c r="E151" s="177" t="d">
        <v>2021-10-29T13:30:00.000</v>
      </c>
      <c r="F151" s="178" t="s">
        <v>80</v>
      </c>
      <c r="G151" s="179">
        <v>15504.67</v>
      </c>
      <c r="H151" s="179">
        <v>15555.98</v>
      </c>
      <c r="I151" s="180">
        <f t="shared" si="39"/>
        <v>51.309999999999491</v>
      </c>
      <c r="J151" s="179">
        <v>15128.41</v>
      </c>
      <c r="K151" s="177" t="d">
        <v>2021-10-29T13:57:00.00000025145709525</v>
      </c>
      <c r="L151" s="179">
        <v>15555.98</v>
      </c>
      <c r="M151" s="181">
        <f t="shared" si="40"/>
        <v>-51.31</v>
      </c>
      <c r="N151" s="182">
        <f t="shared" si="41"/>
        <v>-1</v>
      </c>
      <c r="O151" s="183">
        <f t="shared" si="42"/>
        <v>0</v>
      </c>
      <c r="P151" s="184">
        <f t="shared" si="43"/>
        <v>0</v>
      </c>
      <c r="Q151" s="184">
        <f t="shared" si="44"/>
        <v>-1</v>
      </c>
      <c r="R15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55607.5</v>
      </c>
      <c r="T15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56845</v>
      </c>
      <c r="U151" s="186">
        <f ca="1">IF(Tabla33610673[[#This Row],[Equity]]&lt;Tabla33610673[[#This Row],[Equity Peak]],(Tabla33610673[[#This Row],[Equity Peak]]-Tabla33610673[[#This Row],[Equity]])/Tabla33610673[[#This Row],[Equity Peak]],"")</f>
        <v>2.1769724689946344E-2</v>
      </c>
      <c r="V151" s="187">
        <f t="shared" si="45"/>
        <v>0</v>
      </c>
      <c r="W151" s="187">
        <f t="shared" si="46"/>
        <v>0</v>
      </c>
      <c r="X151" s="187">
        <f t="shared" si="47"/>
        <v>0</v>
      </c>
      <c r="Y151" s="187">
        <f t="shared" si="48"/>
        <v>0</v>
      </c>
      <c r="Z151" s="187">
        <f t="shared" si="49"/>
        <v>-1</v>
      </c>
      <c r="AA151" s="183">
        <f t="shared" si="50"/>
        <v>0</v>
      </c>
      <c r="AB151" s="187">
        <f t="shared" si="51"/>
        <v>0</v>
      </c>
      <c r="AC151" s="183">
        <f t="shared" si="52"/>
        <v>0</v>
      </c>
      <c r="AD151" s="188">
        <f t="shared" si="53"/>
        <v>1.8750000002910383E-2</v>
      </c>
      <c r="AE151" s="188">
        <f t="shared" si="54"/>
        <v>0</v>
      </c>
      <c r="AF151" s="188">
        <f t="shared" si="55"/>
        <v>1.8750000002910383E-2</v>
      </c>
      <c r="AG151" s="188">
        <f t="shared" si="56"/>
        <v>0</v>
      </c>
    </row>
    <row r="152" spans="2:33" ht="15" customHeight="1" x14ac:dyDescent="0.15">
      <c r="B152" s="174" t="s">
        <v>19</v>
      </c>
      <c r="C152" s="175" t="s">
        <v>13</v>
      </c>
      <c r="D152" s="176" t="str">
        <f t="shared" si="38"/>
        <v>C</v>
      </c>
      <c r="E152" s="177" t="d">
        <v>2021-10-29T11:29:59.99999979045242400</v>
      </c>
      <c r="F152" s="178" t="s">
        <v>77</v>
      </c>
      <c r="G152" s="179">
        <v>1792.58</v>
      </c>
      <c r="H152" s="179">
        <v>1797.42</v>
      </c>
      <c r="I152" s="180">
        <f t="shared" si="39"/>
        <v>4.8400000000001455</v>
      </c>
      <c r="J152" s="179">
        <v>1769.35</v>
      </c>
      <c r="K152" s="177" t="d">
        <v>2021-10-29T12:46:59.99999976251274675</v>
      </c>
      <c r="L152" s="179">
        <v>1797.42</v>
      </c>
      <c r="M152" s="181">
        <f t="shared" si="40"/>
        <v>-4.84</v>
      </c>
      <c r="N152" s="182">
        <f t="shared" si="41"/>
        <v>-1</v>
      </c>
      <c r="O152" s="183">
        <f t="shared" si="42"/>
        <v>0</v>
      </c>
      <c r="P152" s="184">
        <f t="shared" si="43"/>
        <v>0</v>
      </c>
      <c r="Q152" s="184">
        <f t="shared" si="44"/>
        <v>-1</v>
      </c>
      <c r="R15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55857.5</v>
      </c>
      <c r="T15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56845</v>
      </c>
      <c r="U152" s="186">
        <f ca="1">IF(Tabla33610673[[#This Row],[Equity]]&lt;Tabla33610673[[#This Row],[Equity Peak]],(Tabla33610673[[#This Row],[Equity Peak]]-Tabla33610673[[#This Row],[Equity]])/Tabla33610673[[#This Row],[Equity Peak]],"")</f>
        <v>1.7371800510159206E-2</v>
      </c>
      <c r="V152" s="187">
        <f t="shared" si="45"/>
        <v>0</v>
      </c>
      <c r="W152" s="187">
        <f t="shared" si="46"/>
        <v>0</v>
      </c>
      <c r="X152" s="187">
        <f t="shared" si="47"/>
        <v>-1</v>
      </c>
      <c r="Y152" s="187">
        <f t="shared" si="48"/>
        <v>0</v>
      </c>
      <c r="Z152" s="187">
        <f t="shared" si="49"/>
        <v>0</v>
      </c>
      <c r="AA152" s="183">
        <f t="shared" si="50"/>
        <v>0</v>
      </c>
      <c r="AB152" s="187">
        <f t="shared" si="51"/>
        <v>0</v>
      </c>
      <c r="AC152" s="183">
        <f t="shared" si="52"/>
        <v>0</v>
      </c>
      <c r="AD152" s="188">
        <f t="shared" si="53"/>
        <v>5.3472222221898846E-2</v>
      </c>
      <c r="AE152" s="188">
        <f t="shared" si="54"/>
        <v>0</v>
      </c>
      <c r="AF152" s="188">
        <f t="shared" si="55"/>
        <v>5.3472222221898846E-2</v>
      </c>
      <c r="AG152" s="188">
        <f t="shared" si="56"/>
        <v>0</v>
      </c>
    </row>
    <row r="153" spans="2:33" ht="15" customHeight="1" x14ac:dyDescent="0.15">
      <c r="B153" s="174" t="s">
        <v>5</v>
      </c>
      <c r="C153" s="175" t="s">
        <v>15</v>
      </c>
      <c r="D153" s="176" t="str">
        <f t="shared" si="38"/>
        <v>C</v>
      </c>
      <c r="E153" s="177" t="d">
        <v>2021-10-28T17:45:00.00000020954757600</v>
      </c>
      <c r="F153" s="178" t="s">
        <v>81</v>
      </c>
      <c r="G153" s="179">
        <v>15731.48</v>
      </c>
      <c r="H153" s="179">
        <v>15672.23</v>
      </c>
      <c r="I153" s="180">
        <f t="shared" si="39"/>
        <v>59.25</v>
      </c>
      <c r="J153" s="179">
        <v>16087</v>
      </c>
      <c r="K153" s="177" t="d">
        <v>2021-10-28T23:29:59.99999979045242400</v>
      </c>
      <c r="L153" s="179">
        <v>15681.28</v>
      </c>
      <c r="M153" s="181">
        <f t="shared" si="40"/>
        <v>-50.2</v>
      </c>
      <c r="N153" s="182">
        <f t="shared" si="41"/>
        <v>-0.85</v>
      </c>
      <c r="O153" s="183">
        <f t="shared" si="42"/>
        <v>0</v>
      </c>
      <c r="P153" s="184">
        <f t="shared" si="43"/>
        <v>0</v>
      </c>
      <c r="Q153" s="184">
        <f t="shared" si="44"/>
        <v>-0.85</v>
      </c>
      <c r="R15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56107.5</v>
      </c>
      <c r="T15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56845</v>
      </c>
      <c r="U153" s="186">
        <f ca="1">IF(Tabla33610673[[#This Row],[Equity]]&lt;Tabla33610673[[#This Row],[Equity Peak]],(Tabla33610673[[#This Row],[Equity Peak]]-Tabla33610673[[#This Row],[Equity]])/Tabla33610673[[#This Row],[Equity Peak]],"")</f>
        <v>1.2973876330372064E-2</v>
      </c>
      <c r="V153" s="187">
        <f t="shared" si="45"/>
        <v>0</v>
      </c>
      <c r="W153" s="187">
        <f t="shared" si="46"/>
        <v>0</v>
      </c>
      <c r="X153" s="187">
        <f t="shared" si="47"/>
        <v>0</v>
      </c>
      <c r="Y153" s="187">
        <f t="shared" si="48"/>
        <v>0</v>
      </c>
      <c r="Z153" s="187">
        <f t="shared" si="49"/>
        <v>-0.85</v>
      </c>
      <c r="AA153" s="183">
        <f t="shared" si="50"/>
        <v>0</v>
      </c>
      <c r="AB153" s="187">
        <f t="shared" si="51"/>
        <v>0</v>
      </c>
      <c r="AC153" s="183">
        <f t="shared" si="52"/>
        <v>0</v>
      </c>
      <c r="AD153" s="188">
        <f t="shared" si="53"/>
        <v>0.23958333332848269</v>
      </c>
      <c r="AE153" s="188">
        <f t="shared" si="54"/>
        <v>0</v>
      </c>
      <c r="AF153" s="188">
        <f t="shared" si="55"/>
        <v>0.23958333332848269</v>
      </c>
      <c r="AG153" s="188">
        <f t="shared" si="56"/>
        <v>0</v>
      </c>
    </row>
    <row r="154" spans="2:33" ht="15" customHeight="1" x14ac:dyDescent="0.15">
      <c r="B154" s="174" t="s">
        <v>5</v>
      </c>
      <c r="C154" s="175" t="s">
        <v>15</v>
      </c>
      <c r="D154" s="176" t="str">
        <f t="shared" si="38"/>
        <v>C</v>
      </c>
      <c r="E154" s="177" t="d">
        <v>2021-10-28T16:44:59.99999979045242400</v>
      </c>
      <c r="F154" s="178" t="s">
        <v>82</v>
      </c>
      <c r="G154" s="179">
        <v>4575.5</v>
      </c>
      <c r="H154" s="179">
        <v>4561.38</v>
      </c>
      <c r="I154" s="180">
        <f t="shared" si="39"/>
        <v>14.119999999999891</v>
      </c>
      <c r="J154" s="179">
        <v>4667.3</v>
      </c>
      <c r="K154" s="177" t="d">
        <v>2021-10-28T19:57:59.99999981839210125</v>
      </c>
      <c r="L154" s="179">
        <v>4576.83</v>
      </c>
      <c r="M154" s="181">
        <f t="shared" si="40"/>
        <v>1.33</v>
      </c>
      <c r="N154" s="182">
        <f t="shared" si="41"/>
        <v>0.09</v>
      </c>
      <c r="O154" s="183">
        <f t="shared" si="42"/>
        <v>0</v>
      </c>
      <c r="P154" s="184">
        <f t="shared" si="43"/>
        <v>0.09</v>
      </c>
      <c r="Q154" s="184">
        <f t="shared" si="44"/>
        <v>0</v>
      </c>
      <c r="R15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56320</v>
      </c>
      <c r="T15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56845</v>
      </c>
      <c r="U154" s="186">
        <f ca="1">IF(Tabla33610673[[#This Row],[Equity]]&lt;Tabla33610673[[#This Row],[Equity Peak]],(Tabla33610673[[#This Row],[Equity Peak]]-Tabla33610673[[#This Row],[Equity]])/Tabla33610673[[#This Row],[Equity Peak]],"")</f>
        <v>9.2356407775529958E-3</v>
      </c>
      <c r="V154" s="187">
        <f t="shared" si="45"/>
        <v>0</v>
      </c>
      <c r="W154" s="187">
        <f t="shared" si="46"/>
        <v>0</v>
      </c>
      <c r="X154" s="187">
        <f t="shared" si="47"/>
        <v>0</v>
      </c>
      <c r="Y154" s="187">
        <f t="shared" si="48"/>
        <v>0</v>
      </c>
      <c r="Z154" s="187">
        <f t="shared" si="49"/>
        <v>0.09</v>
      </c>
      <c r="AA154" s="183">
        <f t="shared" si="50"/>
        <v>0</v>
      </c>
      <c r="AB154" s="187">
        <f t="shared" si="51"/>
        <v>0</v>
      </c>
      <c r="AC154" s="183">
        <f t="shared" si="52"/>
        <v>0</v>
      </c>
      <c r="AD154" s="188">
        <f t="shared" si="53"/>
        <v>0.13402777777810115</v>
      </c>
      <c r="AE154" s="188">
        <f t="shared" si="54"/>
        <v>0.13402777777810115</v>
      </c>
      <c r="AF154" s="188">
        <f t="shared" si="55"/>
        <v>0</v>
      </c>
      <c r="AG154" s="188">
        <f t="shared" si="56"/>
        <v>0</v>
      </c>
    </row>
    <row r="155" spans="2:33" ht="15" customHeight="1" x14ac:dyDescent="0.15">
      <c r="B155" s="174" t="s">
        <v>19</v>
      </c>
      <c r="C155" s="175" t="s">
        <v>15</v>
      </c>
      <c r="D155" s="176" t="str">
        <f t="shared" si="38"/>
        <v>C</v>
      </c>
      <c r="E155" s="177" t="d">
        <v>2021-10-27T21:30:00.00000020954757600</v>
      </c>
      <c r="F155" s="178" t="s">
        <v>77</v>
      </c>
      <c r="G155" s="179">
        <v>1798.53</v>
      </c>
      <c r="H155" s="179">
        <v>1793.64</v>
      </c>
      <c r="I155" s="180">
        <f t="shared" si="39"/>
        <v>4.8899999999998727</v>
      </c>
      <c r="J155" s="179">
        <v>1822.03</v>
      </c>
      <c r="K155" s="177" t="d">
        <v>2021-10-28T17:32:59.99999974854290475</v>
      </c>
      <c r="L155" s="179">
        <v>1797.59</v>
      </c>
      <c r="M155" s="181">
        <f t="shared" si="40"/>
        <v>-0.94</v>
      </c>
      <c r="N155" s="182">
        <f t="shared" si="41"/>
        <v>-0.19</v>
      </c>
      <c r="O155" s="183">
        <f t="shared" si="42"/>
        <v>0</v>
      </c>
      <c r="P155" s="184">
        <f t="shared" si="43"/>
        <v>0</v>
      </c>
      <c r="Q155" s="184">
        <f t="shared" si="44"/>
        <v>-0.19</v>
      </c>
      <c r="R15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56297.5</v>
      </c>
      <c r="T15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56845</v>
      </c>
      <c r="U155" s="186">
        <f ca="1">IF(Tabla33610673[[#This Row],[Equity]]&lt;Tabla33610673[[#This Row],[Equity Peak]],(Tabla33610673[[#This Row],[Equity Peak]]-Tabla33610673[[#This Row],[Equity]])/Tabla33610673[[#This Row],[Equity Peak]],"")</f>
        <v>9.6314539537338383E-3</v>
      </c>
      <c r="V155" s="187">
        <f t="shared" si="45"/>
        <v>0</v>
      </c>
      <c r="W155" s="187">
        <f t="shared" si="46"/>
        <v>0</v>
      </c>
      <c r="X155" s="187">
        <f t="shared" si="47"/>
        <v>-0.19</v>
      </c>
      <c r="Y155" s="187">
        <f t="shared" si="48"/>
        <v>0</v>
      </c>
      <c r="Z155" s="187">
        <f t="shared" si="49"/>
        <v>0</v>
      </c>
      <c r="AA155" s="183">
        <f t="shared" si="50"/>
        <v>0</v>
      </c>
      <c r="AB155" s="187">
        <f t="shared" si="51"/>
        <v>0</v>
      </c>
      <c r="AC155" s="183">
        <f t="shared" si="52"/>
        <v>0</v>
      </c>
      <c r="AD155" s="188">
        <f t="shared" si="53"/>
        <v>0.83541666666133096</v>
      </c>
      <c r="AE155" s="188">
        <f t="shared" si="54"/>
        <v>0</v>
      </c>
      <c r="AF155" s="188">
        <f t="shared" si="55"/>
        <v>0.83541666666133096</v>
      </c>
      <c r="AG155" s="188">
        <f t="shared" si="56"/>
        <v>0</v>
      </c>
    </row>
    <row r="156" spans="2:33" ht="15" customHeight="1" x14ac:dyDescent="0.15">
      <c r="B156" s="174" t="s">
        <v>5</v>
      </c>
      <c r="C156" s="175" t="s">
        <v>15</v>
      </c>
      <c r="D156" s="176" t="str">
        <f t="shared" si="38"/>
        <v>C</v>
      </c>
      <c r="E156" s="177" t="d">
        <v>2021-10-27T20:29:59.99999979045242400</v>
      </c>
      <c r="F156" s="178" t="s">
        <v>81</v>
      </c>
      <c r="G156" s="179">
        <v>15716.45</v>
      </c>
      <c r="H156" s="179">
        <v>15662.74</v>
      </c>
      <c r="I156" s="180">
        <f t="shared" si="39"/>
        <v>53.710000000000946</v>
      </c>
      <c r="J156" s="179">
        <v>16038.74</v>
      </c>
      <c r="K156" s="177" t="d">
        <v>2021-10-27T22:12:00.00000025145709525</v>
      </c>
      <c r="L156" s="179">
        <v>15662.74</v>
      </c>
      <c r="M156" s="181">
        <f t="shared" si="40"/>
        <v>-53.71</v>
      </c>
      <c r="N156" s="182">
        <f t="shared" si="41"/>
        <v>-1</v>
      </c>
      <c r="O156" s="183">
        <f t="shared" si="42"/>
        <v>0</v>
      </c>
      <c r="P156" s="184">
        <f t="shared" si="43"/>
        <v>0</v>
      </c>
      <c r="Q156" s="184">
        <f t="shared" si="44"/>
        <v>-1</v>
      </c>
      <c r="R15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56345</v>
      </c>
      <c r="T15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56845</v>
      </c>
      <c r="U156" s="186">
        <f ca="1">IF(Tabla33610673[[#This Row],[Equity]]&lt;Tabla33610673[[#This Row],[Equity Peak]],(Tabla33610673[[#This Row],[Equity Peak]]-Tabla33610673[[#This Row],[Equity]])/Tabla33610673[[#This Row],[Equity Peak]],"")</f>
        <v>8.7958483595742803E-3</v>
      </c>
      <c r="V156" s="187">
        <f t="shared" si="45"/>
        <v>0</v>
      </c>
      <c r="W156" s="187">
        <f t="shared" si="46"/>
        <v>0</v>
      </c>
      <c r="X156" s="187">
        <f t="shared" si="47"/>
        <v>0</v>
      </c>
      <c r="Y156" s="187">
        <f t="shared" si="48"/>
        <v>0</v>
      </c>
      <c r="Z156" s="187">
        <f t="shared" si="49"/>
        <v>-1</v>
      </c>
      <c r="AA156" s="183">
        <f t="shared" si="50"/>
        <v>0</v>
      </c>
      <c r="AB156" s="187">
        <f t="shared" si="51"/>
        <v>0</v>
      </c>
      <c r="AC156" s="183">
        <f t="shared" si="52"/>
        <v>0</v>
      </c>
      <c r="AD156" s="188">
        <f t="shared" si="53"/>
        <v>7.0833333338669036E-2</v>
      </c>
      <c r="AE156" s="188">
        <f t="shared" si="54"/>
        <v>0</v>
      </c>
      <c r="AF156" s="188">
        <f t="shared" si="55"/>
        <v>7.0833333338669036E-2</v>
      </c>
      <c r="AG156" s="188">
        <f t="shared" si="56"/>
        <v>0</v>
      </c>
    </row>
    <row r="157" spans="2:33" ht="15" customHeight="1" x14ac:dyDescent="0.15">
      <c r="B157" s="174" t="s">
        <v>19</v>
      </c>
      <c r="C157" s="175" t="s">
        <v>15</v>
      </c>
      <c r="D157" s="176" t="str">
        <f t="shared" si="38"/>
        <v>C</v>
      </c>
      <c r="E157" s="177" t="d">
        <v>2021-10-27T15:14:59.99999979045242400</v>
      </c>
      <c r="F157" s="178" t="s">
        <v>77</v>
      </c>
      <c r="G157" s="179">
        <v>1795.23</v>
      </c>
      <c r="H157" s="179">
        <v>1790.5</v>
      </c>
      <c r="I157" s="180">
        <f t="shared" si="39"/>
        <v>4.7300000000000182</v>
      </c>
      <c r="J157" s="179">
        <v>1817.92</v>
      </c>
      <c r="K157" s="177" t="d">
        <v>2021-10-27T15:37:59.99999988824129100</v>
      </c>
      <c r="L157" s="179">
        <v>1790.5</v>
      </c>
      <c r="M157" s="181">
        <f t="shared" si="40"/>
        <v>-4.7300000000000004</v>
      </c>
      <c r="N157" s="182">
        <f t="shared" si="41"/>
        <v>-1</v>
      </c>
      <c r="O157" s="183">
        <f t="shared" si="42"/>
        <v>0</v>
      </c>
      <c r="P157" s="184">
        <f t="shared" si="43"/>
        <v>0</v>
      </c>
      <c r="Q157" s="184">
        <f t="shared" si="44"/>
        <v>-1</v>
      </c>
      <c r="R15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56595</v>
      </c>
      <c r="T15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56845</v>
      </c>
      <c r="U157" s="186">
        <f ca="1">IF(Tabla33610673[[#This Row],[Equity]]&lt;Tabla33610673[[#This Row],[Equity Peak]],(Tabla33610673[[#This Row],[Equity Peak]]-Tabla33610673[[#This Row],[Equity]])/Tabla33610673[[#This Row],[Equity Peak]],"")</f>
        <v>4.3979241797871401E-3</v>
      </c>
      <c r="V157" s="187">
        <f t="shared" si="45"/>
        <v>0</v>
      </c>
      <c r="W157" s="187">
        <f t="shared" si="46"/>
        <v>0</v>
      </c>
      <c r="X157" s="187">
        <f t="shared" si="47"/>
        <v>-1</v>
      </c>
      <c r="Y157" s="187">
        <f t="shared" si="48"/>
        <v>0</v>
      </c>
      <c r="Z157" s="187">
        <f t="shared" si="49"/>
        <v>0</v>
      </c>
      <c r="AA157" s="183">
        <f t="shared" si="50"/>
        <v>0</v>
      </c>
      <c r="AB157" s="187">
        <f t="shared" si="51"/>
        <v>0</v>
      </c>
      <c r="AC157" s="183">
        <f t="shared" si="52"/>
        <v>0</v>
      </c>
      <c r="AD157" s="188">
        <f t="shared" si="53"/>
        <v>1.5972222223354038E-2</v>
      </c>
      <c r="AE157" s="188">
        <f t="shared" si="54"/>
        <v>0</v>
      </c>
      <c r="AF157" s="188">
        <f t="shared" si="55"/>
        <v>1.5972222223354038E-2</v>
      </c>
      <c r="AG157" s="188">
        <f t="shared" si="56"/>
        <v>0</v>
      </c>
    </row>
    <row r="158" spans="2:33" ht="15" customHeight="1" x14ac:dyDescent="0.15">
      <c r="B158" s="174" t="s">
        <v>5</v>
      </c>
      <c r="C158" s="175" t="s">
        <v>15</v>
      </c>
      <c r="D158" s="176" t="str">
        <f t="shared" si="38"/>
        <v>C</v>
      </c>
      <c r="E158" s="177" t="d">
        <v>2021-10-25T18:30:00.00000020954757600</v>
      </c>
      <c r="F158" s="178" t="s">
        <v>80</v>
      </c>
      <c r="G158" s="179">
        <v>15614.02</v>
      </c>
      <c r="H158" s="179">
        <v>15569.78</v>
      </c>
      <c r="I158" s="180">
        <f t="shared" si="39"/>
        <v>44.239999999999782</v>
      </c>
      <c r="J158" s="179">
        <v>15938.44</v>
      </c>
      <c r="K158" s="177" t="d">
        <v>2021-10-27T09:59:59.99999979045242400</v>
      </c>
      <c r="L158" s="179">
        <v>15706.37</v>
      </c>
      <c r="M158" s="181">
        <f t="shared" si="40"/>
        <v>92.35</v>
      </c>
      <c r="N158" s="182">
        <f t="shared" si="41"/>
        <v>2.09</v>
      </c>
      <c r="O158" s="183">
        <f t="shared" si="42"/>
        <v>0</v>
      </c>
      <c r="P158" s="184">
        <f t="shared" si="43"/>
        <v>2.09</v>
      </c>
      <c r="Q158" s="184">
        <f t="shared" si="44"/>
        <v>0</v>
      </c>
      <c r="R15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56845</v>
      </c>
      <c r="T15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56845</v>
      </c>
      <c r="U158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158" s="187">
        <f t="shared" si="45"/>
        <v>0</v>
      </c>
      <c r="W158" s="187">
        <f t="shared" si="46"/>
        <v>0</v>
      </c>
      <c r="X158" s="187">
        <f t="shared" si="47"/>
        <v>0</v>
      </c>
      <c r="Y158" s="187">
        <f t="shared" si="48"/>
        <v>0</v>
      </c>
      <c r="Z158" s="187">
        <f t="shared" si="49"/>
        <v>2.09</v>
      </c>
      <c r="AA158" s="183">
        <f t="shared" si="50"/>
        <v>0</v>
      </c>
      <c r="AB158" s="187">
        <f t="shared" si="51"/>
        <v>0</v>
      </c>
      <c r="AC158" s="183">
        <f t="shared" si="52"/>
        <v>0</v>
      </c>
      <c r="AD158" s="188">
        <f t="shared" si="53"/>
        <v>1.6458333333284827</v>
      </c>
      <c r="AE158" s="188">
        <f t="shared" si="54"/>
        <v>1.6458333333284827</v>
      </c>
      <c r="AF158" s="188">
        <f t="shared" si="55"/>
        <v>0</v>
      </c>
      <c r="AG158" s="188">
        <f t="shared" si="56"/>
        <v>0</v>
      </c>
    </row>
    <row r="159" spans="2:33" ht="15" customHeight="1" x14ac:dyDescent="0.15">
      <c r="B159" s="174" t="s">
        <v>19</v>
      </c>
      <c r="C159" s="175" t="s">
        <v>13</v>
      </c>
      <c r="D159" s="176" t="str">
        <f t="shared" si="38"/>
        <v>C</v>
      </c>
      <c r="E159" s="177" t="d">
        <v>2021-10-27T08:45:00.00000020954757600</v>
      </c>
      <c r="F159" s="178" t="s">
        <v>77</v>
      </c>
      <c r="G159" s="179">
        <v>1786.52</v>
      </c>
      <c r="H159" s="179">
        <v>1791.13</v>
      </c>
      <c r="I159" s="180">
        <f t="shared" si="39"/>
        <v>4.6100000000001273</v>
      </c>
      <c r="J159" s="179">
        <v>1764.42</v>
      </c>
      <c r="K159" s="177" t="d">
        <v>2021-10-27T09:56:00.00000026542693050</v>
      </c>
      <c r="L159" s="179">
        <v>1791.13</v>
      </c>
      <c r="M159" s="181">
        <f t="shared" si="40"/>
        <v>-4.6100000000000003</v>
      </c>
      <c r="N159" s="182">
        <f t="shared" si="41"/>
        <v>-1</v>
      </c>
      <c r="O159" s="183">
        <f t="shared" si="42"/>
        <v>0</v>
      </c>
      <c r="P159" s="184">
        <f t="shared" si="43"/>
        <v>0</v>
      </c>
      <c r="Q159" s="184">
        <f t="shared" si="44"/>
        <v>-1</v>
      </c>
      <c r="R15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56322.5</v>
      </c>
      <c r="T15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56572.5</v>
      </c>
      <c r="U159" s="186">
        <f ca="1">IF(Tabla33610673[[#This Row],[Equity]]&lt;Tabla33610673[[#This Row],[Equity Peak]],(Tabla33610673[[#This Row],[Equity Peak]]-Tabla33610673[[#This Row],[Equity]])/Tabla33610673[[#This Row],[Equity Peak]],"")</f>
        <v>4.4191082239604046E-3</v>
      </c>
      <c r="V159" s="187">
        <f t="shared" si="45"/>
        <v>0</v>
      </c>
      <c r="W159" s="187">
        <f t="shared" si="46"/>
        <v>0</v>
      </c>
      <c r="X159" s="187">
        <f t="shared" si="47"/>
        <v>-1</v>
      </c>
      <c r="Y159" s="187">
        <f t="shared" si="48"/>
        <v>0</v>
      </c>
      <c r="Z159" s="187">
        <f t="shared" si="49"/>
        <v>0</v>
      </c>
      <c r="AA159" s="183">
        <f t="shared" si="50"/>
        <v>0</v>
      </c>
      <c r="AB159" s="187">
        <f t="shared" si="51"/>
        <v>0</v>
      </c>
      <c r="AC159" s="183">
        <f t="shared" si="52"/>
        <v>0</v>
      </c>
      <c r="AD159" s="188">
        <f t="shared" si="53"/>
        <v>4.9305555556202307E-2</v>
      </c>
      <c r="AE159" s="188">
        <f t="shared" si="54"/>
        <v>0</v>
      </c>
      <c r="AF159" s="188">
        <f t="shared" si="55"/>
        <v>4.9305555556202307E-2</v>
      </c>
      <c r="AG159" s="188">
        <f t="shared" si="56"/>
        <v>0</v>
      </c>
    </row>
    <row r="160" spans="2:33" ht="15" customHeight="1" x14ac:dyDescent="0.15">
      <c r="B160" s="174" t="s">
        <v>5</v>
      </c>
      <c r="C160" s="175" t="s">
        <v>15</v>
      </c>
      <c r="D160" s="176" t="str">
        <f t="shared" si="38"/>
        <v>C</v>
      </c>
      <c r="E160" s="177" t="d">
        <v>2021-10-25T18:14:59.99999979045242400</v>
      </c>
      <c r="F160" s="178" t="s">
        <v>82</v>
      </c>
      <c r="G160" s="179">
        <v>4559.03</v>
      </c>
      <c r="H160" s="179">
        <v>4545.5600000000004</v>
      </c>
      <c r="I160" s="180">
        <f t="shared" si="39"/>
        <v>13.469999999999345</v>
      </c>
      <c r="J160" s="179">
        <v>4646.57</v>
      </c>
      <c r="K160" s="177" t="d">
        <v>2021-10-26T19:02:59.99999974854290475</v>
      </c>
      <c r="L160" s="179">
        <v>4581.79</v>
      </c>
      <c r="M160" s="181">
        <f t="shared" si="40"/>
        <v>22.76</v>
      </c>
      <c r="N160" s="182">
        <f t="shared" si="41"/>
        <v>1.69</v>
      </c>
      <c r="O160" s="183">
        <f t="shared" si="42"/>
        <v>0</v>
      </c>
      <c r="P160" s="184">
        <f t="shared" si="43"/>
        <v>1.69</v>
      </c>
      <c r="Q160" s="184">
        <f t="shared" si="44"/>
        <v>0</v>
      </c>
      <c r="R16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56572.5</v>
      </c>
      <c r="T16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56572.5</v>
      </c>
      <c r="U160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160" s="187">
        <f t="shared" si="45"/>
        <v>0</v>
      </c>
      <c r="W160" s="187">
        <f t="shared" si="46"/>
        <v>0</v>
      </c>
      <c r="X160" s="187">
        <f t="shared" si="47"/>
        <v>0</v>
      </c>
      <c r="Y160" s="187">
        <f t="shared" si="48"/>
        <v>0</v>
      </c>
      <c r="Z160" s="187">
        <f t="shared" si="49"/>
        <v>1.69</v>
      </c>
      <c r="AA160" s="183">
        <f t="shared" si="50"/>
        <v>0</v>
      </c>
      <c r="AB160" s="187">
        <f t="shared" si="51"/>
        <v>0</v>
      </c>
      <c r="AC160" s="183">
        <f t="shared" si="52"/>
        <v>0</v>
      </c>
      <c r="AD160" s="188">
        <f t="shared" si="53"/>
        <v>1.0333333333328483</v>
      </c>
      <c r="AE160" s="188">
        <f t="shared" si="54"/>
        <v>1.0333333333328483</v>
      </c>
      <c r="AF160" s="188">
        <f t="shared" si="55"/>
        <v>0</v>
      </c>
      <c r="AG160" s="188">
        <f t="shared" si="56"/>
        <v>0</v>
      </c>
    </row>
    <row r="161" spans="2:33" ht="15" customHeight="1" x14ac:dyDescent="0.15">
      <c r="B161" s="174" t="s">
        <v>19</v>
      </c>
      <c r="C161" s="175" t="s">
        <v>13</v>
      </c>
      <c r="D161" s="176" t="str">
        <f t="shared" si="38"/>
        <v>C</v>
      </c>
      <c r="E161" s="177" t="d">
        <v>2021-10-26T17:15:00.000</v>
      </c>
      <c r="F161" s="178" t="s">
        <v>77</v>
      </c>
      <c r="G161" s="179">
        <v>1784.54</v>
      </c>
      <c r="H161" s="179">
        <v>1789.37</v>
      </c>
      <c r="I161" s="180">
        <f t="shared" si="39"/>
        <v>4.8299999999999272</v>
      </c>
      <c r="J161" s="179">
        <v>1761.34</v>
      </c>
      <c r="K161" s="177" t="d">
        <v>2021-10-26T18:43:00.00000023748725325</v>
      </c>
      <c r="L161" s="179">
        <v>1789.37</v>
      </c>
      <c r="M161" s="181">
        <f t="shared" si="40"/>
        <v>-4.83</v>
      </c>
      <c r="N161" s="182">
        <f t="shared" si="41"/>
        <v>-1</v>
      </c>
      <c r="O161" s="183">
        <f t="shared" si="42"/>
        <v>0</v>
      </c>
      <c r="P161" s="184">
        <f t="shared" si="43"/>
        <v>0</v>
      </c>
      <c r="Q161" s="184">
        <f t="shared" si="44"/>
        <v>-1</v>
      </c>
      <c r="R16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56150</v>
      </c>
      <c r="T16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56400</v>
      </c>
      <c r="U161" s="186">
        <f ca="1">IF(Tabla33610673[[#This Row],[Equity]]&lt;Tabla33610673[[#This Row],[Equity Peak]],(Tabla33610673[[#This Row],[Equity Peak]]-Tabla33610673[[#This Row],[Equity]])/Tabla33610673[[#This Row],[Equity Peak]],"")</f>
        <v>4.4326241134751776E-3</v>
      </c>
      <c r="V161" s="187">
        <f t="shared" si="45"/>
        <v>0</v>
      </c>
      <c r="W161" s="187">
        <f t="shared" si="46"/>
        <v>0</v>
      </c>
      <c r="X161" s="187">
        <f t="shared" si="47"/>
        <v>-1</v>
      </c>
      <c r="Y161" s="187">
        <f t="shared" si="48"/>
        <v>0</v>
      </c>
      <c r="Z161" s="187">
        <f t="shared" si="49"/>
        <v>0</v>
      </c>
      <c r="AA161" s="183">
        <f t="shared" si="50"/>
        <v>0</v>
      </c>
      <c r="AB161" s="187">
        <f t="shared" si="51"/>
        <v>0</v>
      </c>
      <c r="AC161" s="183">
        <f t="shared" si="52"/>
        <v>0</v>
      </c>
      <c r="AD161" s="188">
        <f t="shared" si="53"/>
        <v>6.1111111113859806E-2</v>
      </c>
      <c r="AE161" s="188">
        <f t="shared" si="54"/>
        <v>0</v>
      </c>
      <c r="AF161" s="188">
        <f t="shared" si="55"/>
        <v>6.1111111113859806E-2</v>
      </c>
      <c r="AG161" s="188">
        <f t="shared" si="56"/>
        <v>0</v>
      </c>
    </row>
    <row r="162" spans="2:33" ht="15" customHeight="1" x14ac:dyDescent="0.15">
      <c r="B162" s="174" t="s">
        <v>5</v>
      </c>
      <c r="C162" s="175" t="s">
        <v>15</v>
      </c>
      <c r="D162" s="176" t="str">
        <f t="shared" si="38"/>
        <v>C</v>
      </c>
      <c r="E162" s="177" t="d">
        <v>2021-10-25T19:30:00.000</v>
      </c>
      <c r="F162" s="178" t="s">
        <v>81</v>
      </c>
      <c r="G162" s="179">
        <v>15481.18</v>
      </c>
      <c r="H162" s="179">
        <v>15431.1</v>
      </c>
      <c r="I162" s="180">
        <f t="shared" si="39"/>
        <v>50.079999999999927</v>
      </c>
      <c r="J162" s="179">
        <v>15781.66</v>
      </c>
      <c r="K162" s="177" t="d">
        <v>2021-10-26T18:31:59.99999997206032275</v>
      </c>
      <c r="L162" s="179">
        <v>15641.64</v>
      </c>
      <c r="M162" s="181">
        <f t="shared" si="40"/>
        <v>160.46</v>
      </c>
      <c r="N162" s="182">
        <f t="shared" si="41"/>
        <v>3.2</v>
      </c>
      <c r="O162" s="183">
        <f t="shared" si="42"/>
        <v>0</v>
      </c>
      <c r="P162" s="184">
        <f t="shared" si="43"/>
        <v>3.2</v>
      </c>
      <c r="Q162" s="184">
        <f t="shared" si="44"/>
        <v>0</v>
      </c>
      <c r="R16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56400</v>
      </c>
      <c r="T16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56400</v>
      </c>
      <c r="U162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162" s="187">
        <f t="shared" si="45"/>
        <v>0</v>
      </c>
      <c r="W162" s="187">
        <f t="shared" si="46"/>
        <v>0</v>
      </c>
      <c r="X162" s="187">
        <f t="shared" si="47"/>
        <v>0</v>
      </c>
      <c r="Y162" s="187">
        <f t="shared" si="48"/>
        <v>0</v>
      </c>
      <c r="Z162" s="187">
        <f t="shared" si="49"/>
        <v>3.2</v>
      </c>
      <c r="AA162" s="183">
        <f t="shared" si="50"/>
        <v>0</v>
      </c>
      <c r="AB162" s="187">
        <f t="shared" si="51"/>
        <v>0</v>
      </c>
      <c r="AC162" s="183">
        <f t="shared" si="52"/>
        <v>0</v>
      </c>
      <c r="AD162" s="188">
        <f t="shared" si="53"/>
        <v>0.95972222222189885</v>
      </c>
      <c r="AE162" s="188">
        <f t="shared" si="54"/>
        <v>0.95972222222189885</v>
      </c>
      <c r="AF162" s="188">
        <f t="shared" si="55"/>
        <v>0</v>
      </c>
      <c r="AG162" s="188">
        <f t="shared" si="56"/>
        <v>0</v>
      </c>
    </row>
    <row r="163" spans="2:33" ht="15" customHeight="1" x14ac:dyDescent="0.15">
      <c r="B163" s="174" t="s">
        <v>19</v>
      </c>
      <c r="C163" s="175" t="s">
        <v>15</v>
      </c>
      <c r="D163" s="176" t="str">
        <f t="shared" si="38"/>
        <v>C</v>
      </c>
      <c r="E163" s="177" t="d">
        <v>2021-10-25T12:00:00.000</v>
      </c>
      <c r="F163" s="178" t="s">
        <v>77</v>
      </c>
      <c r="G163" s="179">
        <v>1803.3</v>
      </c>
      <c r="H163" s="179">
        <v>1798.41</v>
      </c>
      <c r="I163" s="180">
        <f t="shared" si="39"/>
        <v>4.8899999999998727</v>
      </c>
      <c r="J163" s="179">
        <v>1826.78</v>
      </c>
      <c r="K163" s="177" t="d">
        <v>2021-10-26T15:26:00.00000005587935450</v>
      </c>
      <c r="L163" s="179">
        <v>1798.93</v>
      </c>
      <c r="M163" s="181">
        <f t="shared" si="40"/>
        <v>-4.37</v>
      </c>
      <c r="N163" s="182">
        <f t="shared" si="41"/>
        <v>-0.89</v>
      </c>
      <c r="O163" s="183">
        <f t="shared" si="42"/>
        <v>0</v>
      </c>
      <c r="P163" s="184">
        <f t="shared" si="43"/>
        <v>0</v>
      </c>
      <c r="Q163" s="184">
        <f t="shared" si="44"/>
        <v>-0.89</v>
      </c>
      <c r="R16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55600</v>
      </c>
      <c r="T16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56172.5</v>
      </c>
      <c r="U163" s="186">
        <f ca="1">IF(Tabla33610673[[#This Row],[Equity]]&lt;Tabla33610673[[#This Row],[Equity Peak]],(Tabla33610673[[#This Row],[Equity Peak]]-Tabla33610673[[#This Row],[Equity]])/Tabla33610673[[#This Row],[Equity Peak]],"")</f>
        <v>1.0191819840669367E-2</v>
      </c>
      <c r="V163" s="187">
        <f t="shared" si="45"/>
        <v>0</v>
      </c>
      <c r="W163" s="187">
        <f t="shared" si="46"/>
        <v>0</v>
      </c>
      <c r="X163" s="187">
        <f t="shared" si="47"/>
        <v>-0.89</v>
      </c>
      <c r="Y163" s="187">
        <f t="shared" si="48"/>
        <v>0</v>
      </c>
      <c r="Z163" s="187">
        <f t="shared" si="49"/>
        <v>0</v>
      </c>
      <c r="AA163" s="183">
        <f t="shared" si="50"/>
        <v>0</v>
      </c>
      <c r="AB163" s="187">
        <f t="shared" si="51"/>
        <v>0</v>
      </c>
      <c r="AC163" s="183">
        <f t="shared" si="52"/>
        <v>0</v>
      </c>
      <c r="AD163" s="188">
        <f t="shared" si="53"/>
        <v>1.1430555555562023</v>
      </c>
      <c r="AE163" s="188">
        <f t="shared" si="54"/>
        <v>0</v>
      </c>
      <c r="AF163" s="188">
        <f t="shared" si="55"/>
        <v>1.1430555555562023</v>
      </c>
      <c r="AG163" s="188">
        <f t="shared" si="56"/>
        <v>0</v>
      </c>
    </row>
    <row r="164" spans="2:33" ht="15" customHeight="1" x14ac:dyDescent="0.15">
      <c r="B164" s="174" t="s">
        <v>5</v>
      </c>
      <c r="C164" s="175" t="s">
        <v>15</v>
      </c>
      <c r="D164" s="176" t="str">
        <f t="shared" si="38"/>
        <v>C</v>
      </c>
      <c r="E164" s="177" t="d">
        <v>2021-10-25T16:30:00.000</v>
      </c>
      <c r="F164" s="178" t="s">
        <v>82</v>
      </c>
      <c r="G164" s="179">
        <v>4555.41</v>
      </c>
      <c r="H164" s="179">
        <v>4542.2</v>
      </c>
      <c r="I164" s="180">
        <f t="shared" si="39"/>
        <v>13.210000000000036</v>
      </c>
      <c r="J164" s="179">
        <v>4641.26</v>
      </c>
      <c r="K164" s="177" t="d">
        <v>2021-10-25T16:38:00.00000030733644975</v>
      </c>
      <c r="L164" s="179">
        <v>4542.2</v>
      </c>
      <c r="M164" s="181">
        <f t="shared" si="40"/>
        <v>-13.21</v>
      </c>
      <c r="N164" s="182">
        <f t="shared" si="41"/>
        <v>-1</v>
      </c>
      <c r="O164" s="183">
        <f t="shared" si="42"/>
        <v>0</v>
      </c>
      <c r="P164" s="184">
        <f t="shared" si="43"/>
        <v>0</v>
      </c>
      <c r="Q164" s="184">
        <f t="shared" si="44"/>
        <v>-1</v>
      </c>
      <c r="R16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55822.5</v>
      </c>
      <c r="T16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56172.5</v>
      </c>
      <c r="U164" s="186">
        <f ca="1">IF(Tabla33610673[[#This Row],[Equity]]&lt;Tabla33610673[[#This Row],[Equity Peak]],(Tabla33610673[[#This Row],[Equity Peak]]-Tabla33610673[[#This Row],[Equity]])/Tabla33610673[[#This Row],[Equity Peak]],"")</f>
        <v>6.2308068894921893E-3</v>
      </c>
      <c r="V164" s="187">
        <f t="shared" si="45"/>
        <v>0</v>
      </c>
      <c r="W164" s="187">
        <f t="shared" si="46"/>
        <v>0</v>
      </c>
      <c r="X164" s="187">
        <f t="shared" si="47"/>
        <v>0</v>
      </c>
      <c r="Y164" s="187">
        <f t="shared" si="48"/>
        <v>0</v>
      </c>
      <c r="Z164" s="187">
        <f t="shared" si="49"/>
        <v>-1</v>
      </c>
      <c r="AA164" s="183">
        <f t="shared" si="50"/>
        <v>0</v>
      </c>
      <c r="AB164" s="187">
        <f t="shared" si="51"/>
        <v>0</v>
      </c>
      <c r="AC164" s="183">
        <f t="shared" si="52"/>
        <v>0</v>
      </c>
      <c r="AD164" s="188">
        <f t="shared" si="53"/>
        <v>5.5555555591126904E-3</v>
      </c>
      <c r="AE164" s="188">
        <f t="shared" si="54"/>
        <v>0</v>
      </c>
      <c r="AF164" s="188">
        <f t="shared" si="55"/>
        <v>5.5555555591126904E-3</v>
      </c>
      <c r="AG164" s="188">
        <f t="shared" si="56"/>
        <v>0</v>
      </c>
    </row>
    <row r="165" spans="2:33" ht="15" customHeight="1" x14ac:dyDescent="0.15">
      <c r="B165" s="174" t="s">
        <v>7</v>
      </c>
      <c r="C165" s="175" t="s">
        <v>13</v>
      </c>
      <c r="D165" s="176" t="str">
        <f t="shared" si="38"/>
        <v>C</v>
      </c>
      <c r="E165" s="177" t="d">
        <v>2021-10-22T16:15:00.00000020954757600</v>
      </c>
      <c r="F165" s="178" t="s">
        <v>102</v>
      </c>
      <c r="G165" s="179">
        <v>156.75700000000001</v>
      </c>
      <c r="H165" s="179">
        <v>157.155</v>
      </c>
      <c r="I165" s="180">
        <f t="shared" si="39"/>
        <v>0.39799999999999613</v>
      </c>
      <c r="J165" s="179">
        <v>154.63300000000001</v>
      </c>
      <c r="K165" s="177" t="d">
        <v>2021-10-25T03:50:59.99999991618096825</v>
      </c>
      <c r="L165" s="179">
        <v>156.51900000000001</v>
      </c>
      <c r="M165" s="181">
        <f t="shared" si="40"/>
        <v>0.23799999999999999</v>
      </c>
      <c r="N165" s="182">
        <f t="shared" si="41"/>
        <v>0.6</v>
      </c>
      <c r="O165" s="183">
        <f t="shared" si="42"/>
        <v>0</v>
      </c>
      <c r="P165" s="184">
        <f t="shared" si="43"/>
        <v>0.6</v>
      </c>
      <c r="Q165" s="184">
        <f t="shared" si="44"/>
        <v>0</v>
      </c>
      <c r="R16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56072.5</v>
      </c>
      <c r="T16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56172.5</v>
      </c>
      <c r="U165" s="186">
        <f ca="1">IF(Tabla33610673[[#This Row],[Equity]]&lt;Tabla33610673[[#This Row],[Equity Peak]],(Tabla33610673[[#This Row],[Equity Peak]]-Tabla33610673[[#This Row],[Equity]])/Tabla33610673[[#This Row],[Equity Peak]],"")</f>
        <v>1.7802305398549113E-3</v>
      </c>
      <c r="V165" s="187">
        <f t="shared" si="45"/>
        <v>0.6</v>
      </c>
      <c r="W165" s="187">
        <f t="shared" si="46"/>
        <v>0</v>
      </c>
      <c r="X165" s="187">
        <f t="shared" si="47"/>
        <v>0</v>
      </c>
      <c r="Y165" s="187">
        <f t="shared" si="48"/>
        <v>0</v>
      </c>
      <c r="Z165" s="187">
        <f t="shared" si="49"/>
        <v>0</v>
      </c>
      <c r="AA165" s="183">
        <f t="shared" si="50"/>
        <v>0</v>
      </c>
      <c r="AB165" s="187">
        <f t="shared" si="51"/>
        <v>0</v>
      </c>
      <c r="AC165" s="183">
        <f t="shared" si="52"/>
        <v>0</v>
      </c>
      <c r="AD165" s="188">
        <f t="shared" si="53"/>
        <v>2.4833333333299379</v>
      </c>
      <c r="AE165" s="188">
        <f t="shared" si="54"/>
        <v>2.4833333333299379</v>
      </c>
      <c r="AF165" s="188">
        <f t="shared" si="55"/>
        <v>0</v>
      </c>
      <c r="AG165" s="188">
        <f t="shared" si="56"/>
        <v>0</v>
      </c>
    </row>
    <row r="166" spans="2:33" ht="15" customHeight="1" x14ac:dyDescent="0.15">
      <c r="B166" s="174" t="s">
        <v>5</v>
      </c>
      <c r="C166" s="175" t="s">
        <v>15</v>
      </c>
      <c r="D166" s="176" t="str">
        <f t="shared" si="38"/>
        <v>C</v>
      </c>
      <c r="E166" s="177" t="d">
        <v>2021-10-22T14:15:00.000</v>
      </c>
      <c r="F166" s="178" t="s">
        <v>80</v>
      </c>
      <c r="G166" s="179">
        <v>15603.11</v>
      </c>
      <c r="H166" s="179">
        <v>15559.55</v>
      </c>
      <c r="I166" s="180">
        <f t="shared" si="39"/>
        <v>43.56000000000131</v>
      </c>
      <c r="J166" s="179">
        <v>15922.57</v>
      </c>
      <c r="K166" s="177" t="d">
        <v>2021-10-22T18:21:59.99999990221113300</v>
      </c>
      <c r="L166" s="179">
        <v>15559.55</v>
      </c>
      <c r="M166" s="181">
        <f t="shared" si="40"/>
        <v>-43.56</v>
      </c>
      <c r="N166" s="182">
        <f t="shared" si="41"/>
        <v>-1</v>
      </c>
      <c r="O166" s="183">
        <f t="shared" si="42"/>
        <v>0</v>
      </c>
      <c r="P166" s="184">
        <f t="shared" si="43"/>
        <v>0</v>
      </c>
      <c r="Q166" s="184">
        <f t="shared" si="44"/>
        <v>-1</v>
      </c>
      <c r="R16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55922.5</v>
      </c>
      <c r="T16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56172.5</v>
      </c>
      <c r="U166" s="186">
        <f ca="1">IF(Tabla33610673[[#This Row],[Equity]]&lt;Tabla33610673[[#This Row],[Equity Peak]],(Tabla33610673[[#This Row],[Equity Peak]]-Tabla33610673[[#This Row],[Equity]])/Tabla33610673[[#This Row],[Equity Peak]],"")</f>
        <v>4.4505763496372778E-3</v>
      </c>
      <c r="V166" s="187">
        <f t="shared" si="45"/>
        <v>0</v>
      </c>
      <c r="W166" s="187">
        <f t="shared" si="46"/>
        <v>0</v>
      </c>
      <c r="X166" s="187">
        <f t="shared" si="47"/>
        <v>0</v>
      </c>
      <c r="Y166" s="187">
        <f t="shared" si="48"/>
        <v>0</v>
      </c>
      <c r="Z166" s="187">
        <f t="shared" si="49"/>
        <v>-1</v>
      </c>
      <c r="AA166" s="183">
        <f t="shared" si="50"/>
        <v>0</v>
      </c>
      <c r="AB166" s="187">
        <f t="shared" si="51"/>
        <v>0</v>
      </c>
      <c r="AC166" s="183">
        <f t="shared" si="52"/>
        <v>0</v>
      </c>
      <c r="AD166" s="188">
        <f t="shared" si="53"/>
        <v>0.17152777777664596</v>
      </c>
      <c r="AE166" s="188">
        <f t="shared" si="54"/>
        <v>0</v>
      </c>
      <c r="AF166" s="188">
        <f t="shared" si="55"/>
        <v>0.17152777777664596</v>
      </c>
      <c r="AG166" s="188">
        <f t="shared" si="56"/>
        <v>0</v>
      </c>
    </row>
    <row r="167" spans="2:33" ht="15" customHeight="1" x14ac:dyDescent="0.15">
      <c r="B167" s="174" t="s">
        <v>19</v>
      </c>
      <c r="C167" s="175" t="s">
        <v>15</v>
      </c>
      <c r="D167" s="176" t="str">
        <f t="shared" si="38"/>
        <v>C</v>
      </c>
      <c r="E167" s="177" t="d">
        <v>2021-10-22T04:15:00.00000020954757600</v>
      </c>
      <c r="F167" s="178" t="s">
        <v>77</v>
      </c>
      <c r="G167" s="179">
        <v>1786.57</v>
      </c>
      <c r="H167" s="179">
        <v>1782.01</v>
      </c>
      <c r="I167" s="180">
        <f t="shared" si="39"/>
        <v>4.5599999999999454</v>
      </c>
      <c r="J167" s="179">
        <v>1808.48</v>
      </c>
      <c r="K167" s="177" t="d">
        <v>2021-10-22T16:57:00.00000025145709525</v>
      </c>
      <c r="L167" s="179">
        <v>1808.48</v>
      </c>
      <c r="M167" s="181">
        <f t="shared" si="40"/>
        <v>21.91</v>
      </c>
      <c r="N167" s="182">
        <f t="shared" si="41"/>
        <v>4.8</v>
      </c>
      <c r="O167" s="183">
        <f t="shared" si="42"/>
        <v>0</v>
      </c>
      <c r="P167" s="184">
        <f t="shared" si="43"/>
        <v>4.8</v>
      </c>
      <c r="Q167" s="184">
        <f t="shared" si="44"/>
        <v>0</v>
      </c>
      <c r="R16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56172.5</v>
      </c>
      <c r="T16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56172.5</v>
      </c>
      <c r="U167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167" s="187">
        <f t="shared" si="45"/>
        <v>0</v>
      </c>
      <c r="W167" s="187">
        <f t="shared" si="46"/>
        <v>0</v>
      </c>
      <c r="X167" s="187">
        <f t="shared" si="47"/>
        <v>4.8</v>
      </c>
      <c r="Y167" s="187">
        <f t="shared" si="48"/>
        <v>0</v>
      </c>
      <c r="Z167" s="187">
        <f t="shared" si="49"/>
        <v>0</v>
      </c>
      <c r="AA167" s="183">
        <f t="shared" si="50"/>
        <v>0</v>
      </c>
      <c r="AB167" s="187">
        <f t="shared" si="51"/>
        <v>0</v>
      </c>
      <c r="AC167" s="183">
        <f t="shared" si="52"/>
        <v>0</v>
      </c>
      <c r="AD167" s="188">
        <f t="shared" si="53"/>
        <v>0.52916666666715173</v>
      </c>
      <c r="AE167" s="188">
        <f t="shared" si="54"/>
        <v>0.52916666666715173</v>
      </c>
      <c r="AF167" s="188">
        <f t="shared" si="55"/>
        <v>0</v>
      </c>
      <c r="AG167" s="188">
        <f t="shared" si="56"/>
        <v>0</v>
      </c>
    </row>
    <row r="168" spans="2:33" ht="15" customHeight="1" x14ac:dyDescent="0.15">
      <c r="B168" s="174" t="s">
        <v>5</v>
      </c>
      <c r="C168" s="175" t="s">
        <v>15</v>
      </c>
      <c r="D168" s="176" t="str">
        <f t="shared" si="38"/>
        <v>C</v>
      </c>
      <c r="E168" s="177" t="d">
        <v>2021-10-21T22:15:00.00000020954757600</v>
      </c>
      <c r="F168" s="178" t="s">
        <v>81</v>
      </c>
      <c r="G168" s="179">
        <v>15466.1</v>
      </c>
      <c r="H168" s="179">
        <v>15423.95</v>
      </c>
      <c r="I168" s="180">
        <f t="shared" si="39"/>
        <v>42.149999999999636</v>
      </c>
      <c r="J168" s="179">
        <v>15719.02</v>
      </c>
      <c r="K168" s="177" t="d">
        <v>2021-10-21T23:16:59.99999976251274675</v>
      </c>
      <c r="L168" s="179">
        <v>15423.95</v>
      </c>
      <c r="M168" s="181">
        <f t="shared" si="40"/>
        <v>-42.15</v>
      </c>
      <c r="N168" s="182">
        <f t="shared" si="41"/>
        <v>-1</v>
      </c>
      <c r="O168" s="183">
        <f t="shared" si="42"/>
        <v>0</v>
      </c>
      <c r="P168" s="184">
        <f t="shared" si="43"/>
        <v>0</v>
      </c>
      <c r="Q168" s="184">
        <f t="shared" si="44"/>
        <v>-1</v>
      </c>
      <c r="R16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54972.5</v>
      </c>
      <c r="T16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55227.5</v>
      </c>
      <c r="U168" s="186">
        <f ca="1">IF(Tabla33610673[[#This Row],[Equity]]&lt;Tabla33610673[[#This Row],[Equity Peak]],(Tabla33610673[[#This Row],[Equity Peak]]-Tabla33610673[[#This Row],[Equity]])/Tabla33610673[[#This Row],[Equity Peak]],"")</f>
        <v>4.6172649495269565E-3</v>
      </c>
      <c r="V168" s="187">
        <f t="shared" si="45"/>
        <v>0</v>
      </c>
      <c r="W168" s="187">
        <f t="shared" si="46"/>
        <v>0</v>
      </c>
      <c r="X168" s="187">
        <f t="shared" si="47"/>
        <v>0</v>
      </c>
      <c r="Y168" s="187">
        <f t="shared" si="48"/>
        <v>0</v>
      </c>
      <c r="Z168" s="187">
        <f t="shared" si="49"/>
        <v>-1</v>
      </c>
      <c r="AA168" s="183">
        <f t="shared" si="50"/>
        <v>0</v>
      </c>
      <c r="AB168" s="187">
        <f t="shared" si="51"/>
        <v>0</v>
      </c>
      <c r="AC168" s="183">
        <f t="shared" si="52"/>
        <v>0</v>
      </c>
      <c r="AD168" s="188">
        <f t="shared" si="53"/>
        <v>4.3055555550381541E-2</v>
      </c>
      <c r="AE168" s="188">
        <f t="shared" si="54"/>
        <v>0</v>
      </c>
      <c r="AF168" s="188">
        <f t="shared" si="55"/>
        <v>4.3055555550381541E-2</v>
      </c>
      <c r="AG168" s="188">
        <f t="shared" si="56"/>
        <v>0</v>
      </c>
    </row>
    <row r="169" spans="2:33" ht="15" customHeight="1" x14ac:dyDescent="0.15">
      <c r="B169" s="174" t="s">
        <v>19</v>
      </c>
      <c r="C169" s="175" t="s">
        <v>15</v>
      </c>
      <c r="D169" s="176" t="str">
        <f t="shared" si="38"/>
        <v>C</v>
      </c>
      <c r="E169" s="177" t="d">
        <v>2021-10-20T08:15:00.000</v>
      </c>
      <c r="F169" s="178" t="s">
        <v>77</v>
      </c>
      <c r="G169" s="179">
        <v>1774.84</v>
      </c>
      <c r="H169" s="179">
        <v>1770.21</v>
      </c>
      <c r="I169" s="180">
        <f t="shared" si="39"/>
        <v>4.6299999999998818</v>
      </c>
      <c r="J169" s="179">
        <v>1797.04</v>
      </c>
      <c r="K169" s="177" t="d">
        <v>2021-10-20T16:25:00.0000002793967725</v>
      </c>
      <c r="L169" s="179">
        <v>1782</v>
      </c>
      <c r="M169" s="181">
        <f t="shared" si="40"/>
        <v>7.16</v>
      </c>
      <c r="N169" s="182">
        <f t="shared" si="41"/>
        <v>1.55</v>
      </c>
      <c r="O169" s="183">
        <f t="shared" si="42"/>
        <v>0</v>
      </c>
      <c r="P169" s="184">
        <f t="shared" si="43"/>
        <v>1.55</v>
      </c>
      <c r="Q169" s="184">
        <f t="shared" si="44"/>
        <v>0</v>
      </c>
      <c r="R16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55222.5</v>
      </c>
      <c r="T16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55227.5</v>
      </c>
      <c r="U169" s="186">
        <f ca="1">IF(Tabla33610673[[#This Row],[Equity]]&lt;Tabla33610673[[#This Row],[Equity Peak]],(Tabla33610673[[#This Row],[Equity Peak]]-Tabla33610673[[#This Row],[Equity]])/Tabla33610673[[#This Row],[Equity Peak]],"")</f>
        <v>9.0534606853469736E-5</v>
      </c>
      <c r="V169" s="187">
        <f t="shared" si="45"/>
        <v>0</v>
      </c>
      <c r="W169" s="187">
        <f t="shared" si="46"/>
        <v>0</v>
      </c>
      <c r="X169" s="187">
        <f t="shared" si="47"/>
        <v>1.55</v>
      </c>
      <c r="Y169" s="187">
        <f t="shared" si="48"/>
        <v>0</v>
      </c>
      <c r="Z169" s="187">
        <f t="shared" si="49"/>
        <v>0</v>
      </c>
      <c r="AA169" s="183">
        <f t="shared" si="50"/>
        <v>0</v>
      </c>
      <c r="AB169" s="187">
        <f t="shared" si="51"/>
        <v>0</v>
      </c>
      <c r="AC169" s="183">
        <f t="shared" si="52"/>
        <v>0</v>
      </c>
      <c r="AD169" s="188">
        <f t="shared" si="53"/>
        <v>0.34027777778101154</v>
      </c>
      <c r="AE169" s="188">
        <f t="shared" si="54"/>
        <v>0.34027777778101154</v>
      </c>
      <c r="AF169" s="188">
        <f t="shared" si="55"/>
        <v>0</v>
      </c>
      <c r="AG169" s="188">
        <f t="shared" si="56"/>
        <v>0</v>
      </c>
    </row>
    <row r="170" spans="2:33" ht="15" customHeight="1" x14ac:dyDescent="0.15">
      <c r="B170" s="174" t="s">
        <v>7</v>
      </c>
      <c r="C170" s="175" t="s">
        <v>15</v>
      </c>
      <c r="D170" s="176" t="str">
        <f t="shared" si="38"/>
        <v>C</v>
      </c>
      <c r="E170" s="177" t="d">
        <v>2021-10-20T02:29:59.99999979045242400</v>
      </c>
      <c r="F170" s="178" t="s">
        <v>103</v>
      </c>
      <c r="G170" s="179">
        <v>114.517</v>
      </c>
      <c r="H170" s="179">
        <v>114.29600000000001</v>
      </c>
      <c r="I170" s="180">
        <f t="shared" si="39"/>
        <v>0.22099999999998943</v>
      </c>
      <c r="J170" s="179">
        <v>115.905</v>
      </c>
      <c r="K170" s="177" t="d">
        <v>2021-10-20T10:03:59.99999994412064550</v>
      </c>
      <c r="L170" s="179">
        <v>114.39</v>
      </c>
      <c r="M170" s="181">
        <f t="shared" si="40"/>
        <v>-0.127</v>
      </c>
      <c r="N170" s="182">
        <f t="shared" si="41"/>
        <v>-0.56999999999999995</v>
      </c>
      <c r="O170" s="183">
        <f t="shared" si="42"/>
        <v>0</v>
      </c>
      <c r="P170" s="184">
        <f t="shared" si="43"/>
        <v>0</v>
      </c>
      <c r="Q170" s="184">
        <f t="shared" si="44"/>
        <v>-0.56999999999999995</v>
      </c>
      <c r="R17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54835</v>
      </c>
      <c r="T17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55227.5</v>
      </c>
      <c r="U170" s="186">
        <f ca="1">IF(Tabla33610673[[#This Row],[Equity]]&lt;Tabla33610673[[#This Row],[Equity Peak]],(Tabla33610673[[#This Row],[Equity Peak]]-Tabla33610673[[#This Row],[Equity]])/Tabla33610673[[#This Row],[Equity Peak]],"")</f>
        <v>7.1069666379973747E-3</v>
      </c>
      <c r="V170" s="187">
        <f t="shared" si="45"/>
        <v>-0.56999999999999995</v>
      </c>
      <c r="W170" s="187">
        <f t="shared" si="46"/>
        <v>0</v>
      </c>
      <c r="X170" s="187">
        <f t="shared" si="47"/>
        <v>0</v>
      </c>
      <c r="Y170" s="187">
        <f t="shared" si="48"/>
        <v>0</v>
      </c>
      <c r="Z170" s="187">
        <f t="shared" si="49"/>
        <v>0</v>
      </c>
      <c r="AA170" s="183">
        <f t="shared" si="50"/>
        <v>0</v>
      </c>
      <c r="AB170" s="187">
        <f t="shared" si="51"/>
        <v>0</v>
      </c>
      <c r="AC170" s="183">
        <f t="shared" si="52"/>
        <v>0</v>
      </c>
      <c r="AD170" s="188">
        <f t="shared" si="53"/>
        <v>0.31527777777955635</v>
      </c>
      <c r="AE170" s="188">
        <f t="shared" si="54"/>
        <v>0</v>
      </c>
      <c r="AF170" s="188">
        <f t="shared" si="55"/>
        <v>0.31527777777955635</v>
      </c>
      <c r="AG170" s="188">
        <f t="shared" si="56"/>
        <v>0</v>
      </c>
    </row>
    <row r="171" spans="2:33" ht="15" customHeight="1" x14ac:dyDescent="0.15">
      <c r="B171" s="174" t="s">
        <v>19</v>
      </c>
      <c r="C171" s="175" t="s">
        <v>13</v>
      </c>
      <c r="D171" s="176" t="str">
        <f t="shared" si="38"/>
        <v>C</v>
      </c>
      <c r="E171" s="177" t="d">
        <v>2021-10-19T19:15:00.00000020954757600</v>
      </c>
      <c r="F171" s="178" t="s">
        <v>77</v>
      </c>
      <c r="G171" s="179">
        <v>1768.07</v>
      </c>
      <c r="H171" s="179">
        <v>1772.98</v>
      </c>
      <c r="I171" s="180">
        <f t="shared" si="39"/>
        <v>4.9100000000000819</v>
      </c>
      <c r="J171" s="179">
        <v>1744.51</v>
      </c>
      <c r="K171" s="177" t="d">
        <v>2021-10-20T04:21:59.99999969266355025</v>
      </c>
      <c r="L171" s="179">
        <v>1772.98</v>
      </c>
      <c r="M171" s="181">
        <f t="shared" si="40"/>
        <v>-4.91</v>
      </c>
      <c r="N171" s="182">
        <f t="shared" si="41"/>
        <v>-1</v>
      </c>
      <c r="O171" s="183">
        <f t="shared" si="42"/>
        <v>0</v>
      </c>
      <c r="P171" s="184">
        <f t="shared" si="43"/>
        <v>0</v>
      </c>
      <c r="Q171" s="184">
        <f t="shared" si="44"/>
        <v>-1</v>
      </c>
      <c r="R17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54977.5</v>
      </c>
      <c r="T17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55227.5</v>
      </c>
      <c r="U171" s="186">
        <f ca="1">IF(Tabla33610673[[#This Row],[Equity]]&lt;Tabla33610673[[#This Row],[Equity Peak]],(Tabla33610673[[#This Row],[Equity Peak]]-Tabla33610673[[#This Row],[Equity]])/Tabla33610673[[#This Row],[Equity Peak]],"")</f>
        <v>4.5267303426734873E-3</v>
      </c>
      <c r="V171" s="187">
        <f t="shared" si="45"/>
        <v>0</v>
      </c>
      <c r="W171" s="187">
        <f t="shared" si="46"/>
        <v>0</v>
      </c>
      <c r="X171" s="187">
        <f t="shared" si="47"/>
        <v>-1</v>
      </c>
      <c r="Y171" s="187">
        <f t="shared" si="48"/>
        <v>0</v>
      </c>
      <c r="Z171" s="187">
        <f t="shared" si="49"/>
        <v>0</v>
      </c>
      <c r="AA171" s="183">
        <f t="shared" si="50"/>
        <v>0</v>
      </c>
      <c r="AB171" s="187">
        <f t="shared" si="51"/>
        <v>0</v>
      </c>
      <c r="AC171" s="183">
        <f t="shared" si="52"/>
        <v>0</v>
      </c>
      <c r="AD171" s="188">
        <f t="shared" si="53"/>
        <v>0.37986111110512866</v>
      </c>
      <c r="AE171" s="188">
        <f t="shared" si="54"/>
        <v>0</v>
      </c>
      <c r="AF171" s="188">
        <f t="shared" si="55"/>
        <v>0.37986111110512866</v>
      </c>
      <c r="AG171" s="188">
        <f t="shared" si="56"/>
        <v>0</v>
      </c>
    </row>
    <row r="172" spans="2:33" ht="15" customHeight="1" x14ac:dyDescent="0.15">
      <c r="B172" s="174" t="s">
        <v>7</v>
      </c>
      <c r="C172" s="175" t="s">
        <v>15</v>
      </c>
      <c r="D172" s="176" t="str">
        <f t="shared" si="38"/>
        <v>C</v>
      </c>
      <c r="E172" s="177" t="d">
        <v>2021-10-19T12:45:00.000</v>
      </c>
      <c r="F172" s="178" t="s">
        <v>102</v>
      </c>
      <c r="G172" s="179">
        <v>157.44499999999999</v>
      </c>
      <c r="H172" s="179">
        <v>157.13200000000001</v>
      </c>
      <c r="I172" s="180">
        <f t="shared" si="39"/>
        <v>0.31299999999998818</v>
      </c>
      <c r="J172" s="179">
        <v>159.114</v>
      </c>
      <c r="K172" s="177" t="d">
        <v>2021-10-19T17:39:00.00000029336660775</v>
      </c>
      <c r="L172" s="179">
        <v>157.57499999999999</v>
      </c>
      <c r="M172" s="181">
        <f t="shared" si="40"/>
        <v>0.13</v>
      </c>
      <c r="N172" s="182">
        <f t="shared" si="41"/>
        <v>0.42</v>
      </c>
      <c r="O172" s="183">
        <f t="shared" si="42"/>
        <v>0</v>
      </c>
      <c r="P172" s="184">
        <f t="shared" si="43"/>
        <v>0.42</v>
      </c>
      <c r="Q172" s="184">
        <f t="shared" si="44"/>
        <v>0</v>
      </c>
      <c r="R17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55227.5</v>
      </c>
      <c r="T17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55227.5</v>
      </c>
      <c r="U172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172" s="187">
        <f t="shared" si="45"/>
        <v>0.42</v>
      </c>
      <c r="W172" s="187">
        <f t="shared" si="46"/>
        <v>0</v>
      </c>
      <c r="X172" s="187">
        <f t="shared" si="47"/>
        <v>0</v>
      </c>
      <c r="Y172" s="187">
        <f t="shared" si="48"/>
        <v>0</v>
      </c>
      <c r="Z172" s="187">
        <f t="shared" si="49"/>
        <v>0</v>
      </c>
      <c r="AA172" s="183">
        <f t="shared" si="50"/>
        <v>0</v>
      </c>
      <c r="AB172" s="187">
        <f t="shared" si="51"/>
        <v>0</v>
      </c>
      <c r="AC172" s="183">
        <f t="shared" si="52"/>
        <v>0</v>
      </c>
      <c r="AD172" s="188">
        <f t="shared" si="53"/>
        <v>0.20416666667006211</v>
      </c>
      <c r="AE172" s="188">
        <f t="shared" si="54"/>
        <v>0.20416666667006211</v>
      </c>
      <c r="AF172" s="188">
        <f t="shared" si="55"/>
        <v>0</v>
      </c>
      <c r="AG172" s="188">
        <f t="shared" si="56"/>
        <v>0</v>
      </c>
    </row>
    <row r="173" spans="2:33" ht="15" customHeight="1" x14ac:dyDescent="0.15">
      <c r="B173" s="174" t="s">
        <v>19</v>
      </c>
      <c r="C173" s="175" t="s">
        <v>15</v>
      </c>
      <c r="D173" s="176" t="str">
        <f t="shared" si="38"/>
        <v>C</v>
      </c>
      <c r="E173" s="177" t="d">
        <v>2021-10-19T06:00:00.000</v>
      </c>
      <c r="F173" s="178" t="s">
        <v>77</v>
      </c>
      <c r="G173" s="179">
        <v>1774.22</v>
      </c>
      <c r="H173" s="179">
        <v>1769.55</v>
      </c>
      <c r="I173" s="180">
        <f t="shared" si="39"/>
        <v>4.6700000000000728</v>
      </c>
      <c r="J173" s="179">
        <v>1796.63</v>
      </c>
      <c r="K173" s="177" t="d">
        <v>2021-10-19T17:17:59.9999999580904875</v>
      </c>
      <c r="L173" s="179">
        <v>1772.87</v>
      </c>
      <c r="M173" s="181">
        <f t="shared" si="40"/>
        <v>-1.35</v>
      </c>
      <c r="N173" s="182">
        <f t="shared" si="41"/>
        <v>-0.28999999999999998</v>
      </c>
      <c r="O173" s="183">
        <f t="shared" si="42"/>
        <v>0</v>
      </c>
      <c r="P173" s="184">
        <f t="shared" si="43"/>
        <v>0</v>
      </c>
      <c r="Q173" s="184">
        <f t="shared" si="44"/>
        <v>-0.28999999999999998</v>
      </c>
      <c r="R17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55122.5</v>
      </c>
      <c r="T17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55195</v>
      </c>
      <c r="U173" s="186">
        <f ca="1">IF(Tabla33610673[[#This Row],[Equity]]&lt;Tabla33610673[[#This Row],[Equity Peak]],(Tabla33610673[[#This Row],[Equity Peak]]-Tabla33610673[[#This Row],[Equity]])/Tabla33610673[[#This Row],[Equity Peak]],"")</f>
        <v>1.3135247757949089E-3</v>
      </c>
      <c r="V173" s="187">
        <f t="shared" si="45"/>
        <v>0</v>
      </c>
      <c r="W173" s="187">
        <f t="shared" si="46"/>
        <v>0</v>
      </c>
      <c r="X173" s="187">
        <f t="shared" si="47"/>
        <v>-0.28999999999999998</v>
      </c>
      <c r="Y173" s="187">
        <f t="shared" si="48"/>
        <v>0</v>
      </c>
      <c r="Z173" s="187">
        <f t="shared" si="49"/>
        <v>0</v>
      </c>
      <c r="AA173" s="183">
        <f t="shared" si="50"/>
        <v>0</v>
      </c>
      <c r="AB173" s="187">
        <f t="shared" si="51"/>
        <v>0</v>
      </c>
      <c r="AC173" s="183">
        <f t="shared" si="52"/>
        <v>0</v>
      </c>
      <c r="AD173" s="188">
        <f t="shared" si="53"/>
        <v>0.47083333333284827</v>
      </c>
      <c r="AE173" s="188">
        <f t="shared" si="54"/>
        <v>0</v>
      </c>
      <c r="AF173" s="188">
        <f t="shared" si="55"/>
        <v>0.47083333333284827</v>
      </c>
      <c r="AG173" s="188">
        <f t="shared" si="56"/>
        <v>0</v>
      </c>
    </row>
    <row r="174" spans="2:33" ht="15" customHeight="1" x14ac:dyDescent="0.15">
      <c r="B174" s="174" t="s">
        <v>5</v>
      </c>
      <c r="C174" s="175" t="s">
        <v>15</v>
      </c>
      <c r="D174" s="176" t="str">
        <f t="shared" si="38"/>
        <v>C</v>
      </c>
      <c r="E174" s="177" t="d">
        <v>2021-10-18T18:00:00.000</v>
      </c>
      <c r="F174" s="178" t="s">
        <v>81</v>
      </c>
      <c r="G174" s="179">
        <v>15177.04</v>
      </c>
      <c r="H174" s="179">
        <v>15125.7</v>
      </c>
      <c r="I174" s="180">
        <f t="shared" si="39"/>
        <v>51.340000000000146</v>
      </c>
      <c r="J174" s="179">
        <v>15485.1</v>
      </c>
      <c r="K174" s="177" t="d">
        <v>2021-10-19T16:31:59.99999976251274675</v>
      </c>
      <c r="L174" s="179">
        <v>15325.04</v>
      </c>
      <c r="M174" s="181">
        <f t="shared" si="40"/>
        <v>148</v>
      </c>
      <c r="N174" s="182">
        <f t="shared" si="41"/>
        <v>2.88</v>
      </c>
      <c r="O174" s="183">
        <f t="shared" si="42"/>
        <v>0</v>
      </c>
      <c r="P174" s="184">
        <f t="shared" si="43"/>
        <v>2.88</v>
      </c>
      <c r="Q174" s="184">
        <f t="shared" si="44"/>
        <v>0</v>
      </c>
      <c r="R17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55195</v>
      </c>
      <c r="T17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55195</v>
      </c>
      <c r="U174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174" s="187">
        <f t="shared" si="45"/>
        <v>0</v>
      </c>
      <c r="W174" s="187">
        <f t="shared" si="46"/>
        <v>0</v>
      </c>
      <c r="X174" s="187">
        <f t="shared" si="47"/>
        <v>0</v>
      </c>
      <c r="Y174" s="187">
        <f t="shared" si="48"/>
        <v>0</v>
      </c>
      <c r="Z174" s="187">
        <f t="shared" si="49"/>
        <v>2.88</v>
      </c>
      <c r="AA174" s="183">
        <f t="shared" si="50"/>
        <v>0</v>
      </c>
      <c r="AB174" s="187">
        <f t="shared" si="51"/>
        <v>0</v>
      </c>
      <c r="AC174" s="183">
        <f t="shared" si="52"/>
        <v>0</v>
      </c>
      <c r="AD174" s="188">
        <f t="shared" si="53"/>
        <v>0.93888888888614019</v>
      </c>
      <c r="AE174" s="188">
        <f t="shared" si="54"/>
        <v>0.93888888888614019</v>
      </c>
      <c r="AF174" s="188">
        <f t="shared" si="55"/>
        <v>0</v>
      </c>
      <c r="AG174" s="188">
        <f t="shared" si="56"/>
        <v>0</v>
      </c>
    </row>
    <row r="175" spans="2:33" ht="15" customHeight="1" x14ac:dyDescent="0.15">
      <c r="B175" s="174" t="s">
        <v>5</v>
      </c>
      <c r="C175" s="175" t="s">
        <v>15</v>
      </c>
      <c r="D175" s="176" t="str">
        <f t="shared" si="38"/>
        <v>C</v>
      </c>
      <c r="E175" s="177" t="d">
        <v>2021-10-13T21:14:59.99999979045242400</v>
      </c>
      <c r="F175" s="178" t="s">
        <v>82</v>
      </c>
      <c r="G175" s="179">
        <v>4366.3999999999996</v>
      </c>
      <c r="H175" s="179">
        <v>4343.17</v>
      </c>
      <c r="I175" s="180">
        <f t="shared" si="39"/>
        <v>23.229999999999563</v>
      </c>
      <c r="J175" s="179">
        <v>4517.3999999999996</v>
      </c>
      <c r="K175" s="177" t="d">
        <v>2021-10-18T09:47:59.9999999580904875</v>
      </c>
      <c r="L175" s="179">
        <v>4453.4399999999996</v>
      </c>
      <c r="M175" s="181">
        <f t="shared" si="40"/>
        <v>87.04</v>
      </c>
      <c r="N175" s="182">
        <f t="shared" si="41"/>
        <v>3.75</v>
      </c>
      <c r="O175" s="183">
        <f t="shared" si="42"/>
        <v>0</v>
      </c>
      <c r="P175" s="184">
        <f t="shared" si="43"/>
        <v>3.75</v>
      </c>
      <c r="Q175" s="184">
        <f t="shared" si="44"/>
        <v>0</v>
      </c>
      <c r="R17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54475</v>
      </c>
      <c r="T17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54475</v>
      </c>
      <c r="U175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175" s="187">
        <f t="shared" si="45"/>
        <v>0</v>
      </c>
      <c r="W175" s="187">
        <f t="shared" si="46"/>
        <v>0</v>
      </c>
      <c r="X175" s="187">
        <f t="shared" si="47"/>
        <v>0</v>
      </c>
      <c r="Y175" s="187">
        <f t="shared" si="48"/>
        <v>0</v>
      </c>
      <c r="Z175" s="187">
        <f t="shared" si="49"/>
        <v>3.75</v>
      </c>
      <c r="AA175" s="183">
        <f t="shared" si="50"/>
        <v>0</v>
      </c>
      <c r="AB175" s="187">
        <f t="shared" si="51"/>
        <v>0</v>
      </c>
      <c r="AC175" s="183">
        <f t="shared" si="52"/>
        <v>0</v>
      </c>
      <c r="AD175" s="188">
        <f t="shared" si="53"/>
        <v>4.5229166666686069</v>
      </c>
      <c r="AE175" s="188">
        <f t="shared" si="54"/>
        <v>4.5229166666686069</v>
      </c>
      <c r="AF175" s="188">
        <f t="shared" si="55"/>
        <v>0</v>
      </c>
      <c r="AG175" s="188">
        <f t="shared" si="56"/>
        <v>0</v>
      </c>
    </row>
    <row r="176" spans="2:33" ht="15" customHeight="1" x14ac:dyDescent="0.15">
      <c r="B176" s="174" t="s">
        <v>19</v>
      </c>
      <c r="C176" s="175" t="s">
        <v>13</v>
      </c>
      <c r="D176" s="176" t="str">
        <f t="shared" si="38"/>
        <v>C</v>
      </c>
      <c r="E176" s="177" t="d">
        <v>2021-10-15T15:30:00.00000020954757600</v>
      </c>
      <c r="F176" s="178" t="s">
        <v>77</v>
      </c>
      <c r="G176" s="179">
        <v>1774.49</v>
      </c>
      <c r="H176" s="179">
        <v>1779.21</v>
      </c>
      <c r="I176" s="180">
        <f t="shared" si="39"/>
        <v>4.7200000000000273</v>
      </c>
      <c r="J176" s="179">
        <v>1751.84</v>
      </c>
      <c r="K176" s="177" t="d">
        <v>2021-10-18T09:43:00.00000023748725325</v>
      </c>
      <c r="L176" s="179">
        <v>1766.9</v>
      </c>
      <c r="M176" s="181">
        <f t="shared" si="40"/>
        <v>7.59</v>
      </c>
      <c r="N176" s="182">
        <f t="shared" si="41"/>
        <v>1.61</v>
      </c>
      <c r="O176" s="183">
        <f t="shared" si="42"/>
        <v>0</v>
      </c>
      <c r="P176" s="184">
        <f t="shared" si="43"/>
        <v>1.61</v>
      </c>
      <c r="Q176" s="184">
        <f t="shared" si="44"/>
        <v>0</v>
      </c>
      <c r="R17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53537.5</v>
      </c>
      <c r="T17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53537.5</v>
      </c>
      <c r="U176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176" s="187">
        <f t="shared" si="45"/>
        <v>0</v>
      </c>
      <c r="W176" s="187">
        <f t="shared" si="46"/>
        <v>0</v>
      </c>
      <c r="X176" s="187">
        <f t="shared" si="47"/>
        <v>1.61</v>
      </c>
      <c r="Y176" s="187">
        <f t="shared" si="48"/>
        <v>0</v>
      </c>
      <c r="Z176" s="187">
        <f t="shared" si="49"/>
        <v>0</v>
      </c>
      <c r="AA176" s="183">
        <f t="shared" si="50"/>
        <v>0</v>
      </c>
      <c r="AB176" s="187">
        <f t="shared" si="51"/>
        <v>0</v>
      </c>
      <c r="AC176" s="183">
        <f t="shared" si="52"/>
        <v>0</v>
      </c>
      <c r="AD176" s="188">
        <f t="shared" si="53"/>
        <v>2.7590277777781012</v>
      </c>
      <c r="AE176" s="188">
        <f t="shared" si="54"/>
        <v>2.7590277777781012</v>
      </c>
      <c r="AF176" s="188">
        <f t="shared" si="55"/>
        <v>0</v>
      </c>
      <c r="AG176" s="188">
        <f t="shared" si="56"/>
        <v>0</v>
      </c>
    </row>
    <row r="177" spans="2:33" ht="15" customHeight="1" x14ac:dyDescent="0.15">
      <c r="B177" s="174" t="s">
        <v>5</v>
      </c>
      <c r="C177" s="175" t="s">
        <v>15</v>
      </c>
      <c r="D177" s="176" t="str">
        <f t="shared" si="38"/>
        <v>C</v>
      </c>
      <c r="E177" s="177" t="d">
        <v>2021-10-14T03:30:00.00000020954757600</v>
      </c>
      <c r="F177" s="178" t="s">
        <v>80</v>
      </c>
      <c r="G177" s="179">
        <v>15312.55</v>
      </c>
      <c r="H177" s="179">
        <v>15253.91</v>
      </c>
      <c r="I177" s="180">
        <f t="shared" si="39"/>
        <v>58.639999999999418</v>
      </c>
      <c r="J177" s="179">
        <v>15742.55</v>
      </c>
      <c r="K177" s="177" t="d">
        <v>2021-10-18T09:17:00.00000018160789875</v>
      </c>
      <c r="L177" s="179">
        <v>15520.39</v>
      </c>
      <c r="M177" s="181">
        <f t="shared" si="40"/>
        <v>207.84</v>
      </c>
      <c r="N177" s="182">
        <f t="shared" si="41"/>
        <v>3.54</v>
      </c>
      <c r="O177" s="183">
        <f t="shared" si="42"/>
        <v>0</v>
      </c>
      <c r="P177" s="184">
        <f t="shared" si="43"/>
        <v>3.54</v>
      </c>
      <c r="Q177" s="184">
        <f t="shared" si="44"/>
        <v>0</v>
      </c>
      <c r="R17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53135</v>
      </c>
      <c r="T17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53135</v>
      </c>
      <c r="U177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177" s="187">
        <f t="shared" si="45"/>
        <v>0</v>
      </c>
      <c r="W177" s="187">
        <f t="shared" si="46"/>
        <v>0</v>
      </c>
      <c r="X177" s="187">
        <f t="shared" si="47"/>
        <v>0</v>
      </c>
      <c r="Y177" s="187">
        <f t="shared" si="48"/>
        <v>0</v>
      </c>
      <c r="Z177" s="187">
        <f t="shared" si="49"/>
        <v>3.54</v>
      </c>
      <c r="AA177" s="183">
        <f t="shared" si="50"/>
        <v>0</v>
      </c>
      <c r="AB177" s="187">
        <f t="shared" si="51"/>
        <v>0</v>
      </c>
      <c r="AC177" s="183">
        <f t="shared" si="52"/>
        <v>0</v>
      </c>
      <c r="AD177" s="188">
        <f t="shared" si="53"/>
        <v>4.2409722222218988</v>
      </c>
      <c r="AE177" s="188">
        <f t="shared" si="54"/>
        <v>4.2409722222218988</v>
      </c>
      <c r="AF177" s="188">
        <f t="shared" si="55"/>
        <v>0</v>
      </c>
      <c r="AG177" s="188">
        <f t="shared" si="56"/>
        <v>0</v>
      </c>
    </row>
    <row r="178" spans="2:33" ht="15" customHeight="1" x14ac:dyDescent="0.15">
      <c r="B178" s="174" t="s">
        <v>7</v>
      </c>
      <c r="C178" s="175" t="s">
        <v>15</v>
      </c>
      <c r="D178" s="176" t="str">
        <f t="shared" si="38"/>
        <v>C</v>
      </c>
      <c r="E178" s="177" t="d">
        <v>2021-10-15T02:45:00.00000020954757600</v>
      </c>
      <c r="F178" s="178" t="s">
        <v>103</v>
      </c>
      <c r="G178" s="179">
        <v>113.855</v>
      </c>
      <c r="H178" s="179">
        <v>113.631</v>
      </c>
      <c r="I178" s="180">
        <f t="shared" si="39"/>
        <v>0.22400000000000375</v>
      </c>
      <c r="J178" s="179">
        <v>115.264</v>
      </c>
      <c r="K178" s="177" t="d">
        <v>2021-10-15T17:39:00.00000029336660775</v>
      </c>
      <c r="L178" s="179">
        <v>114.15900000000001</v>
      </c>
      <c r="M178" s="181">
        <f t="shared" si="40"/>
        <v>0.30399999999999999</v>
      </c>
      <c r="N178" s="182">
        <f t="shared" si="41"/>
        <v>1.36</v>
      </c>
      <c r="O178" s="183">
        <f t="shared" si="42"/>
        <v>0</v>
      </c>
      <c r="P178" s="184">
        <f t="shared" si="43"/>
        <v>1.36</v>
      </c>
      <c r="Q178" s="184">
        <f t="shared" si="44"/>
        <v>0</v>
      </c>
      <c r="R17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52250</v>
      </c>
      <c r="T17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52250</v>
      </c>
      <c r="U178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178" s="187">
        <f t="shared" si="45"/>
        <v>1.36</v>
      </c>
      <c r="W178" s="187">
        <f t="shared" si="46"/>
        <v>0</v>
      </c>
      <c r="X178" s="187">
        <f t="shared" si="47"/>
        <v>0</v>
      </c>
      <c r="Y178" s="187">
        <f t="shared" si="48"/>
        <v>0</v>
      </c>
      <c r="Z178" s="187">
        <f t="shared" si="49"/>
        <v>0</v>
      </c>
      <c r="AA178" s="183">
        <f t="shared" si="50"/>
        <v>0</v>
      </c>
      <c r="AB178" s="187">
        <f t="shared" si="51"/>
        <v>0</v>
      </c>
      <c r="AC178" s="183">
        <f t="shared" si="52"/>
        <v>0</v>
      </c>
      <c r="AD178" s="188">
        <f t="shared" si="53"/>
        <v>0.62083333333430346</v>
      </c>
      <c r="AE178" s="188">
        <f t="shared" si="54"/>
        <v>0.62083333333430346</v>
      </c>
      <c r="AF178" s="188">
        <f t="shared" si="55"/>
        <v>0</v>
      </c>
      <c r="AG178" s="188">
        <f t="shared" si="56"/>
        <v>0</v>
      </c>
    </row>
    <row r="179" spans="2:33" ht="15" customHeight="1" x14ac:dyDescent="0.15">
      <c r="B179" s="174" t="s">
        <v>5</v>
      </c>
      <c r="C179" s="175" t="s">
        <v>15</v>
      </c>
      <c r="D179" s="176" t="str">
        <f t="shared" si="38"/>
        <v>C</v>
      </c>
      <c r="E179" s="177" t="d">
        <v>2021-10-14T15:00:00.000</v>
      </c>
      <c r="F179" s="178" t="s">
        <v>81</v>
      </c>
      <c r="G179" s="179">
        <v>14917.17</v>
      </c>
      <c r="H179" s="179">
        <v>14851.73</v>
      </c>
      <c r="I179" s="180">
        <f t="shared" si="39"/>
        <v>65.440000000000509</v>
      </c>
      <c r="J179" s="179">
        <v>15309.82</v>
      </c>
      <c r="K179" s="177" t="d">
        <v>2021-10-15T10:41:00.00000026542693050</v>
      </c>
      <c r="L179" s="179">
        <v>15055.4</v>
      </c>
      <c r="M179" s="181">
        <f t="shared" si="40"/>
        <v>138.22999999999999</v>
      </c>
      <c r="N179" s="182">
        <f t="shared" si="41"/>
        <v>2.11</v>
      </c>
      <c r="O179" s="183">
        <f t="shared" si="42"/>
        <v>0</v>
      </c>
      <c r="P179" s="184">
        <f t="shared" si="43"/>
        <v>2.11</v>
      </c>
      <c r="Q179" s="184">
        <f t="shared" si="44"/>
        <v>0</v>
      </c>
      <c r="R17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51910</v>
      </c>
      <c r="T17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51910</v>
      </c>
      <c r="U179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179" s="187">
        <f t="shared" si="45"/>
        <v>0</v>
      </c>
      <c r="W179" s="187">
        <f t="shared" si="46"/>
        <v>0</v>
      </c>
      <c r="X179" s="187">
        <f t="shared" si="47"/>
        <v>0</v>
      </c>
      <c r="Y179" s="187">
        <f t="shared" si="48"/>
        <v>0</v>
      </c>
      <c r="Z179" s="187">
        <f t="shared" si="49"/>
        <v>2.11</v>
      </c>
      <c r="AA179" s="183">
        <f t="shared" si="50"/>
        <v>0</v>
      </c>
      <c r="AB179" s="187">
        <f t="shared" si="51"/>
        <v>0</v>
      </c>
      <c r="AC179" s="183">
        <f t="shared" si="52"/>
        <v>0</v>
      </c>
      <c r="AD179" s="188">
        <f t="shared" si="53"/>
        <v>0.82013888889196096</v>
      </c>
      <c r="AE179" s="188">
        <f t="shared" si="54"/>
        <v>0.82013888889196096</v>
      </c>
      <c r="AF179" s="188">
        <f t="shared" si="55"/>
        <v>0</v>
      </c>
      <c r="AG179" s="188">
        <f t="shared" si="56"/>
        <v>0</v>
      </c>
    </row>
    <row r="180" spans="2:33" ht="15" customHeight="1" x14ac:dyDescent="0.15">
      <c r="B180" s="174" t="s">
        <v>7</v>
      </c>
      <c r="C180" s="175" t="s">
        <v>15</v>
      </c>
      <c r="D180" s="176" t="str">
        <f t="shared" si="38"/>
        <v>C</v>
      </c>
      <c r="E180" s="177" t="d">
        <v>2021-10-14T03:30:00.00000020954757600</v>
      </c>
      <c r="F180" s="178" t="s">
        <v>102</v>
      </c>
      <c r="G180" s="179">
        <v>154.97399999999999</v>
      </c>
      <c r="H180" s="179">
        <v>154.67599999999999</v>
      </c>
      <c r="I180" s="180">
        <f t="shared" si="39"/>
        <v>0.29800000000000182</v>
      </c>
      <c r="J180" s="179">
        <v>156.565</v>
      </c>
      <c r="K180" s="177" t="d">
        <v>2021-10-15T10:24:00.00000008381903175</v>
      </c>
      <c r="L180" s="179">
        <v>156.565</v>
      </c>
      <c r="M180" s="181">
        <f t="shared" si="40"/>
        <v>1.591</v>
      </c>
      <c r="N180" s="182">
        <f t="shared" si="41"/>
        <v>5.34</v>
      </c>
      <c r="O180" s="183">
        <f t="shared" si="42"/>
        <v>0</v>
      </c>
      <c r="P180" s="184">
        <f t="shared" si="43"/>
        <v>5.34</v>
      </c>
      <c r="Q180" s="184">
        <f t="shared" si="44"/>
        <v>0</v>
      </c>
      <c r="R18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51382.5</v>
      </c>
      <c r="T18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51382.5</v>
      </c>
      <c r="U180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180" s="187">
        <f t="shared" si="45"/>
        <v>5.34</v>
      </c>
      <c r="W180" s="187">
        <f t="shared" si="46"/>
        <v>0</v>
      </c>
      <c r="X180" s="187">
        <f t="shared" si="47"/>
        <v>0</v>
      </c>
      <c r="Y180" s="187">
        <f t="shared" si="48"/>
        <v>0</v>
      </c>
      <c r="Z180" s="187">
        <f t="shared" si="49"/>
        <v>0</v>
      </c>
      <c r="AA180" s="183">
        <f t="shared" si="50"/>
        <v>0</v>
      </c>
      <c r="AB180" s="187">
        <f t="shared" si="51"/>
        <v>0</v>
      </c>
      <c r="AC180" s="183">
        <f t="shared" si="52"/>
        <v>0</v>
      </c>
      <c r="AD180" s="188">
        <f t="shared" si="53"/>
        <v>1.2874999999985448</v>
      </c>
      <c r="AE180" s="188">
        <f t="shared" si="54"/>
        <v>1.2874999999985448</v>
      </c>
      <c r="AF180" s="188">
        <f t="shared" si="55"/>
        <v>0</v>
      </c>
      <c r="AG180" s="188">
        <f t="shared" si="56"/>
        <v>0</v>
      </c>
    </row>
    <row r="181" spans="2:33" ht="15" customHeight="1" x14ac:dyDescent="0.15">
      <c r="B181" s="174" t="s">
        <v>19</v>
      </c>
      <c r="C181" s="175" t="s">
        <v>15</v>
      </c>
      <c r="D181" s="176" t="str">
        <f t="shared" si="38"/>
        <v>C</v>
      </c>
      <c r="E181" s="177" t="d">
        <v>2021-10-13T16:44:59.99999979045242400</v>
      </c>
      <c r="F181" s="178" t="s">
        <v>77</v>
      </c>
      <c r="G181" s="179">
        <v>1778.9</v>
      </c>
      <c r="H181" s="179">
        <v>1774.04</v>
      </c>
      <c r="I181" s="180">
        <f t="shared" si="39"/>
        <v>4.8600000000001273</v>
      </c>
      <c r="J181" s="179">
        <v>1802.24</v>
      </c>
      <c r="K181" s="177" t="d">
        <v>2021-10-14T04:50:59.99999970663339225</v>
      </c>
      <c r="L181" s="179">
        <v>1790.04</v>
      </c>
      <c r="M181" s="181">
        <f t="shared" si="40"/>
        <v>11.14</v>
      </c>
      <c r="N181" s="182">
        <f t="shared" si="41"/>
        <v>2.29</v>
      </c>
      <c r="O181" s="183">
        <f t="shared" si="42"/>
        <v>0</v>
      </c>
      <c r="P181" s="184">
        <f t="shared" si="43"/>
        <v>2.29</v>
      </c>
      <c r="Q181" s="184">
        <f t="shared" si="44"/>
        <v>0</v>
      </c>
      <c r="R18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50047.5</v>
      </c>
      <c r="T18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181" s="186">
        <f ca="1">IF(Tabla33610673[[#This Row],[Equity]]&lt;Tabla33610673[[#This Row],[Equity Peak]],(Tabla33610673[[#This Row],[Equity Peak]]-Tabla33610673[[#This Row],[Equity]])/Tabla33610673[[#This Row],[Equity Peak]],"")</f>
        <v>2.4177431147940531E-2</v>
      </c>
      <c r="V181" s="187">
        <f t="shared" si="45"/>
        <v>0</v>
      </c>
      <c r="W181" s="187">
        <f t="shared" si="46"/>
        <v>0</v>
      </c>
      <c r="X181" s="187">
        <f t="shared" si="47"/>
        <v>2.29</v>
      </c>
      <c r="Y181" s="187">
        <f t="shared" si="48"/>
        <v>0</v>
      </c>
      <c r="Z181" s="187">
        <f t="shared" si="49"/>
        <v>0</v>
      </c>
      <c r="AA181" s="183">
        <f t="shared" si="50"/>
        <v>0</v>
      </c>
      <c r="AB181" s="187">
        <f t="shared" si="51"/>
        <v>0</v>
      </c>
      <c r="AC181" s="183">
        <f t="shared" si="52"/>
        <v>0</v>
      </c>
      <c r="AD181" s="188">
        <f t="shared" si="53"/>
        <v>0.50416666666569654</v>
      </c>
      <c r="AE181" s="188">
        <f t="shared" si="54"/>
        <v>0.50416666666569654</v>
      </c>
      <c r="AF181" s="188">
        <f t="shared" si="55"/>
        <v>0</v>
      </c>
      <c r="AG181" s="188">
        <f t="shared" si="56"/>
        <v>0</v>
      </c>
    </row>
    <row r="182" spans="2:33" ht="15" customHeight="1" x14ac:dyDescent="0.15">
      <c r="B182" s="174" t="s">
        <v>5</v>
      </c>
      <c r="C182" s="175" t="s">
        <v>13</v>
      </c>
      <c r="D182" s="176" t="str">
        <f t="shared" si="38"/>
        <v>C</v>
      </c>
      <c r="E182" s="177" t="d">
        <v>2021-10-13T17:15:00.000</v>
      </c>
      <c r="F182" s="178" t="s">
        <v>82</v>
      </c>
      <c r="G182" s="179">
        <v>4329.45</v>
      </c>
      <c r="H182" s="179">
        <v>4351.9799999999996</v>
      </c>
      <c r="I182" s="180">
        <f t="shared" si="39"/>
        <v>22.529999999999745</v>
      </c>
      <c r="J182" s="179">
        <v>4182.9799999999996</v>
      </c>
      <c r="K182" s="177" t="d">
        <v>2021-10-13T18:47:59.9999999580904875</v>
      </c>
      <c r="L182" s="179">
        <v>4351.9799999999996</v>
      </c>
      <c r="M182" s="181">
        <f t="shared" si="40"/>
        <v>-22.53</v>
      </c>
      <c r="N182" s="182">
        <f t="shared" si="41"/>
        <v>-1</v>
      </c>
      <c r="O182" s="183">
        <f t="shared" si="42"/>
        <v>0</v>
      </c>
      <c r="P182" s="184">
        <f t="shared" si="43"/>
        <v>0</v>
      </c>
      <c r="Q182" s="184">
        <f t="shared" si="44"/>
        <v>-1</v>
      </c>
      <c r="R18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49475</v>
      </c>
      <c r="T18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182" s="186">
        <f ca="1">IF(Tabla33610673[[#This Row],[Equity]]&lt;Tabla33610673[[#This Row],[Equity Peak]],(Tabla33610673[[#This Row],[Equity Peak]]-Tabla33610673[[#This Row],[Equity]])/Tabla33610673[[#This Row],[Equity Peak]],"")</f>
        <v>3.5339995125517915E-2</v>
      </c>
      <c r="V182" s="187">
        <f t="shared" si="45"/>
        <v>0</v>
      </c>
      <c r="W182" s="187">
        <f t="shared" si="46"/>
        <v>0</v>
      </c>
      <c r="X182" s="187">
        <f t="shared" si="47"/>
        <v>0</v>
      </c>
      <c r="Y182" s="187">
        <f t="shared" si="48"/>
        <v>0</v>
      </c>
      <c r="Z182" s="187">
        <f t="shared" si="49"/>
        <v>-1</v>
      </c>
      <c r="AA182" s="183">
        <f t="shared" si="50"/>
        <v>0</v>
      </c>
      <c r="AB182" s="187">
        <f t="shared" si="51"/>
        <v>0</v>
      </c>
      <c r="AC182" s="183">
        <f t="shared" si="52"/>
        <v>0</v>
      </c>
      <c r="AD182" s="188">
        <f t="shared" si="53"/>
        <v>6.4583333332848269E-2</v>
      </c>
      <c r="AE182" s="188">
        <f t="shared" si="54"/>
        <v>0</v>
      </c>
      <c r="AF182" s="188">
        <f t="shared" si="55"/>
        <v>6.4583333332848269E-2</v>
      </c>
      <c r="AG182" s="188">
        <f t="shared" si="56"/>
        <v>0</v>
      </c>
    </row>
    <row r="183" spans="2:33" ht="15" customHeight="1" x14ac:dyDescent="0.15">
      <c r="B183" s="174" t="s">
        <v>19</v>
      </c>
      <c r="C183" s="175" t="s">
        <v>15</v>
      </c>
      <c r="D183" s="176" t="str">
        <f t="shared" si="38"/>
        <v>C</v>
      </c>
      <c r="E183" s="177" t="d">
        <v>2021-10-13T10:44:59.99999979045242400</v>
      </c>
      <c r="F183" s="178" t="s">
        <v>77</v>
      </c>
      <c r="G183" s="179">
        <v>1765.67</v>
      </c>
      <c r="H183" s="179">
        <v>1761.03</v>
      </c>
      <c r="I183" s="180">
        <f t="shared" si="39"/>
        <v>4.6400000000001</v>
      </c>
      <c r="J183" s="179">
        <v>1787.93</v>
      </c>
      <c r="K183" s="177" t="d">
        <v>2021-10-13T15:31:59.99999997206032275</v>
      </c>
      <c r="L183" s="179">
        <v>1771.45</v>
      </c>
      <c r="M183" s="181">
        <f t="shared" si="40"/>
        <v>5.78</v>
      </c>
      <c r="N183" s="182">
        <f t="shared" si="41"/>
        <v>1.25</v>
      </c>
      <c r="O183" s="183">
        <f t="shared" si="42"/>
        <v>0</v>
      </c>
      <c r="P183" s="184">
        <f t="shared" si="43"/>
        <v>1.25</v>
      </c>
      <c r="Q183" s="184">
        <f t="shared" si="44"/>
        <v>0</v>
      </c>
      <c r="R18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49725</v>
      </c>
      <c r="T18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183" s="186">
        <f ca="1">IF(Tabla33610673[[#This Row],[Equity]]&lt;Tabla33610673[[#This Row],[Equity Peak]],(Tabla33610673[[#This Row],[Equity Peak]]-Tabla33610673[[#This Row],[Equity]])/Tabla33610673[[#This Row],[Equity Peak]],"")</f>
        <v>3.046551303923958E-2</v>
      </c>
      <c r="V183" s="187">
        <f t="shared" si="45"/>
        <v>0</v>
      </c>
      <c r="W183" s="187">
        <f t="shared" si="46"/>
        <v>0</v>
      </c>
      <c r="X183" s="187">
        <f t="shared" si="47"/>
        <v>1.25</v>
      </c>
      <c r="Y183" s="187">
        <f t="shared" si="48"/>
        <v>0</v>
      </c>
      <c r="Z183" s="187">
        <f t="shared" si="49"/>
        <v>0</v>
      </c>
      <c r="AA183" s="183">
        <f t="shared" si="50"/>
        <v>0</v>
      </c>
      <c r="AB183" s="187">
        <f t="shared" si="51"/>
        <v>0</v>
      </c>
      <c r="AC183" s="183">
        <f t="shared" si="52"/>
        <v>0</v>
      </c>
      <c r="AD183" s="188">
        <f t="shared" si="53"/>
        <v>0.1993055555576575</v>
      </c>
      <c r="AE183" s="188">
        <f t="shared" si="54"/>
        <v>0.1993055555576575</v>
      </c>
      <c r="AF183" s="188">
        <f t="shared" si="55"/>
        <v>0</v>
      </c>
      <c r="AG183" s="188">
        <f t="shared" si="56"/>
        <v>0</v>
      </c>
    </row>
    <row r="184" spans="2:33" ht="15" customHeight="1" x14ac:dyDescent="0.15">
      <c r="B184" s="174" t="s">
        <v>7</v>
      </c>
      <c r="C184" s="175" t="s">
        <v>15</v>
      </c>
      <c r="D184" s="176" t="str">
        <f t="shared" si="38"/>
        <v>C</v>
      </c>
      <c r="E184" s="177" t="d">
        <v>2021-10-13T11:45:00.00000020954757600</v>
      </c>
      <c r="F184" s="178" t="s">
        <v>102</v>
      </c>
      <c r="G184" s="179">
        <v>154.88900000000001</v>
      </c>
      <c r="H184" s="179">
        <v>154.548</v>
      </c>
      <c r="I184" s="180">
        <f t="shared" si="39"/>
        <v>0.34100000000000819</v>
      </c>
      <c r="J184" s="179">
        <v>156.708</v>
      </c>
      <c r="K184" s="177" t="d">
        <v>2021-10-13T15:24:00.00000029336660775</v>
      </c>
      <c r="L184" s="179">
        <v>154.548</v>
      </c>
      <c r="M184" s="181">
        <f t="shared" si="40"/>
        <v>-0.34100000000000003</v>
      </c>
      <c r="N184" s="182">
        <f t="shared" si="41"/>
        <v>-1</v>
      </c>
      <c r="O184" s="183">
        <f t="shared" si="42"/>
        <v>0</v>
      </c>
      <c r="P184" s="184">
        <f t="shared" si="43"/>
        <v>0</v>
      </c>
      <c r="Q184" s="184">
        <f t="shared" si="44"/>
        <v>-1</v>
      </c>
      <c r="R18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49412.5</v>
      </c>
      <c r="T18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184" s="186">
        <f ca="1">IF(Tabla33610673[[#This Row],[Equity]]&lt;Tabla33610673[[#This Row],[Equity Peak]],(Tabla33610673[[#This Row],[Equity Peak]]-Tabla33610673[[#This Row],[Equity]])/Tabla33610673[[#This Row],[Equity Peak]],"")</f>
        <v>3.6558615647087497E-2</v>
      </c>
      <c r="V184" s="187">
        <f t="shared" si="45"/>
        <v>-1</v>
      </c>
      <c r="W184" s="187">
        <f t="shared" si="46"/>
        <v>0</v>
      </c>
      <c r="X184" s="187">
        <f t="shared" si="47"/>
        <v>0</v>
      </c>
      <c r="Y184" s="187">
        <f t="shared" si="48"/>
        <v>0</v>
      </c>
      <c r="Z184" s="187">
        <f t="shared" si="49"/>
        <v>0</v>
      </c>
      <c r="AA184" s="183">
        <f t="shared" si="50"/>
        <v>0</v>
      </c>
      <c r="AB184" s="187">
        <f t="shared" si="51"/>
        <v>0</v>
      </c>
      <c r="AC184" s="183">
        <f t="shared" si="52"/>
        <v>0</v>
      </c>
      <c r="AD184" s="188">
        <f t="shared" si="53"/>
        <v>0.15208333333430346</v>
      </c>
      <c r="AE184" s="188">
        <f t="shared" si="54"/>
        <v>0</v>
      </c>
      <c r="AF184" s="188">
        <f t="shared" si="55"/>
        <v>0.15208333333430346</v>
      </c>
      <c r="AG184" s="188">
        <f t="shared" si="56"/>
        <v>0</v>
      </c>
    </row>
    <row r="185" spans="2:33" ht="15" customHeight="1" x14ac:dyDescent="0.15">
      <c r="B185" s="174" t="s">
        <v>19</v>
      </c>
      <c r="C185" s="175" t="s">
        <v>15</v>
      </c>
      <c r="D185" s="176" t="str">
        <f t="shared" si="38"/>
        <v>C</v>
      </c>
      <c r="E185" s="177" t="d">
        <v>2021-10-12T17:00:00.00000020954757600</v>
      </c>
      <c r="F185" s="178" t="s">
        <v>77</v>
      </c>
      <c r="G185" s="179">
        <v>1768.45</v>
      </c>
      <c r="H185" s="179">
        <v>1763.62</v>
      </c>
      <c r="I185" s="180">
        <f t="shared" si="39"/>
        <v>4.8300000000001546</v>
      </c>
      <c r="J185" s="179">
        <v>1791.65</v>
      </c>
      <c r="K185" s="177" t="d">
        <v>2021-10-12T17:35:59.99999970663339225</v>
      </c>
      <c r="L185" s="179">
        <v>1763.62</v>
      </c>
      <c r="M185" s="181">
        <f t="shared" si="40"/>
        <v>-4.83</v>
      </c>
      <c r="N185" s="182">
        <f t="shared" si="41"/>
        <v>-1</v>
      </c>
      <c r="O185" s="183">
        <f t="shared" si="42"/>
        <v>0</v>
      </c>
      <c r="P185" s="184">
        <f t="shared" si="43"/>
        <v>0</v>
      </c>
      <c r="Q185" s="184">
        <f t="shared" si="44"/>
        <v>-1</v>
      </c>
      <c r="R18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49662.5</v>
      </c>
      <c r="T18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185" s="186">
        <f ca="1">IF(Tabla33610673[[#This Row],[Equity]]&lt;Tabla33610673[[#This Row],[Equity Peak]],(Tabla33610673[[#This Row],[Equity Peak]]-Tabla33610673[[#This Row],[Equity]])/Tabla33610673[[#This Row],[Equity Peak]],"")</f>
        <v>3.1684133560809166E-2</v>
      </c>
      <c r="V185" s="187">
        <f t="shared" si="45"/>
        <v>0</v>
      </c>
      <c r="W185" s="187">
        <f t="shared" si="46"/>
        <v>0</v>
      </c>
      <c r="X185" s="187">
        <f t="shared" si="47"/>
        <v>-1</v>
      </c>
      <c r="Y185" s="187">
        <f t="shared" si="48"/>
        <v>0</v>
      </c>
      <c r="Z185" s="187">
        <f t="shared" si="49"/>
        <v>0</v>
      </c>
      <c r="AA185" s="183">
        <f t="shared" si="50"/>
        <v>0</v>
      </c>
      <c r="AB185" s="187">
        <f t="shared" si="51"/>
        <v>0</v>
      </c>
      <c r="AC185" s="183">
        <f t="shared" si="52"/>
        <v>0</v>
      </c>
      <c r="AD185" s="188">
        <f t="shared" si="53"/>
        <v>2.4999999994179234E-2</v>
      </c>
      <c r="AE185" s="188">
        <f t="shared" si="54"/>
        <v>0</v>
      </c>
      <c r="AF185" s="188">
        <f t="shared" si="55"/>
        <v>2.4999999994179234E-2</v>
      </c>
      <c r="AG185" s="188">
        <f t="shared" si="56"/>
        <v>0</v>
      </c>
    </row>
    <row r="186" spans="2:33" ht="15" customHeight="1" x14ac:dyDescent="0.15">
      <c r="B186" s="174" t="s">
        <v>7</v>
      </c>
      <c r="C186" s="175" t="s">
        <v>15</v>
      </c>
      <c r="D186" s="176" t="str">
        <f t="shared" si="38"/>
        <v>C</v>
      </c>
      <c r="E186" s="177" t="d">
        <v>2021-10-12T15:14:59.99999979045242400</v>
      </c>
      <c r="F186" s="178" t="s">
        <v>102</v>
      </c>
      <c r="G186" s="179">
        <v>154.631</v>
      </c>
      <c r="H186" s="179">
        <v>154.25800000000001</v>
      </c>
      <c r="I186" s="180">
        <f t="shared" si="39"/>
        <v>0.37299999999999045</v>
      </c>
      <c r="J186" s="179">
        <v>156.62</v>
      </c>
      <c r="K186" s="177" t="d">
        <v>2021-10-12T17:06:00.00000012572854425</v>
      </c>
      <c r="L186" s="179">
        <v>154.26499999999999</v>
      </c>
      <c r="M186" s="181">
        <f t="shared" si="40"/>
        <v>-0.36599999999999999</v>
      </c>
      <c r="N186" s="182">
        <f t="shared" si="41"/>
        <v>-0.98</v>
      </c>
      <c r="O186" s="183">
        <f t="shared" si="42"/>
        <v>0</v>
      </c>
      <c r="P186" s="184">
        <f t="shared" si="43"/>
        <v>0</v>
      </c>
      <c r="Q186" s="184">
        <f t="shared" si="44"/>
        <v>-0.98</v>
      </c>
      <c r="R18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49912.5</v>
      </c>
      <c r="T18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186" s="186">
        <f ca="1">IF(Tabla33610673[[#This Row],[Equity]]&lt;Tabla33610673[[#This Row],[Equity Peak]],(Tabla33610673[[#This Row],[Equity Peak]]-Tabla33610673[[#This Row],[Equity]])/Tabla33610673[[#This Row],[Equity Peak]],"")</f>
        <v>2.6809651474530832E-2</v>
      </c>
      <c r="V186" s="187">
        <f t="shared" si="45"/>
        <v>-0.98</v>
      </c>
      <c r="W186" s="187">
        <f t="shared" si="46"/>
        <v>0</v>
      </c>
      <c r="X186" s="187">
        <f t="shared" si="47"/>
        <v>0</v>
      </c>
      <c r="Y186" s="187">
        <f t="shared" si="48"/>
        <v>0</v>
      </c>
      <c r="Z186" s="187">
        <f t="shared" si="49"/>
        <v>0</v>
      </c>
      <c r="AA186" s="183">
        <f t="shared" si="50"/>
        <v>0</v>
      </c>
      <c r="AB186" s="187">
        <f t="shared" si="51"/>
        <v>0</v>
      </c>
      <c r="AC186" s="183">
        <f t="shared" si="52"/>
        <v>0</v>
      </c>
      <c r="AD186" s="188">
        <f t="shared" si="53"/>
        <v>7.7083333337213844E-2</v>
      </c>
      <c r="AE186" s="188">
        <f t="shared" si="54"/>
        <v>0</v>
      </c>
      <c r="AF186" s="188">
        <f t="shared" si="55"/>
        <v>7.7083333337213844E-2</v>
      </c>
      <c r="AG186" s="188">
        <f t="shared" si="56"/>
        <v>0</v>
      </c>
    </row>
    <row r="187" spans="2:33" ht="15" customHeight="1" x14ac:dyDescent="0.15">
      <c r="B187" s="174" t="s">
        <v>5</v>
      </c>
      <c r="C187" s="175" t="s">
        <v>15</v>
      </c>
      <c r="D187" s="176" t="str">
        <f t="shared" si="38"/>
        <v>C</v>
      </c>
      <c r="E187" s="177" t="d">
        <v>2021-10-12T15:30:00.00000020954757600</v>
      </c>
      <c r="F187" s="178" t="s">
        <v>82</v>
      </c>
      <c r="G187" s="179">
        <v>4372.3500000000004</v>
      </c>
      <c r="H187" s="179">
        <v>4348.07</v>
      </c>
      <c r="I187" s="180">
        <f t="shared" si="39"/>
        <v>24.280000000000655</v>
      </c>
      <c r="J187" s="179">
        <v>4530.1899999999996</v>
      </c>
      <c r="K187" s="177" t="d">
        <v>2021-10-12T16:47:00.00000018160789875</v>
      </c>
      <c r="L187" s="179">
        <v>4348.07</v>
      </c>
      <c r="M187" s="181">
        <f t="shared" si="40"/>
        <v>-24.28</v>
      </c>
      <c r="N187" s="182">
        <f t="shared" si="41"/>
        <v>-1</v>
      </c>
      <c r="O187" s="183">
        <f t="shared" si="42"/>
        <v>0</v>
      </c>
      <c r="P187" s="184">
        <f t="shared" si="43"/>
        <v>0</v>
      </c>
      <c r="Q187" s="184">
        <f t="shared" si="44"/>
        <v>-1</v>
      </c>
      <c r="R18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50157.5</v>
      </c>
      <c r="T18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187" s="186">
        <f ca="1">IF(Tabla33610673[[#This Row],[Equity]]&lt;Tabla33610673[[#This Row],[Equity Peak]],(Tabla33610673[[#This Row],[Equity Peak]]-Tabla33610673[[#This Row],[Equity]])/Tabla33610673[[#This Row],[Equity Peak]],"")</f>
        <v>2.2032659029978065E-2</v>
      </c>
      <c r="V187" s="187">
        <f t="shared" si="45"/>
        <v>0</v>
      </c>
      <c r="W187" s="187">
        <f t="shared" si="46"/>
        <v>0</v>
      </c>
      <c r="X187" s="187">
        <f t="shared" si="47"/>
        <v>0</v>
      </c>
      <c r="Y187" s="187">
        <f t="shared" si="48"/>
        <v>0</v>
      </c>
      <c r="Z187" s="187">
        <f t="shared" si="49"/>
        <v>-1</v>
      </c>
      <c r="AA187" s="183">
        <f t="shared" si="50"/>
        <v>0</v>
      </c>
      <c r="AB187" s="187">
        <f t="shared" si="51"/>
        <v>0</v>
      </c>
      <c r="AC187" s="183">
        <f t="shared" si="52"/>
        <v>0</v>
      </c>
      <c r="AD187" s="188">
        <f t="shared" si="53"/>
        <v>5.3472222221898846E-2</v>
      </c>
      <c r="AE187" s="188">
        <f t="shared" si="54"/>
        <v>0</v>
      </c>
      <c r="AF187" s="188">
        <f t="shared" si="55"/>
        <v>5.3472222221898846E-2</v>
      </c>
      <c r="AG187" s="188">
        <f t="shared" si="56"/>
        <v>0</v>
      </c>
    </row>
    <row r="188" spans="2:33" ht="15" customHeight="1" x14ac:dyDescent="0.15">
      <c r="B188" s="174" t="s">
        <v>7</v>
      </c>
      <c r="C188" s="175" t="s">
        <v>15</v>
      </c>
      <c r="D188" s="176" t="str">
        <f t="shared" si="38"/>
        <v>C</v>
      </c>
      <c r="E188" s="177" t="d">
        <v>2021-10-12T15:30:00.00000020954757600</v>
      </c>
      <c r="F188" s="178" t="s">
        <v>103</v>
      </c>
      <c r="G188" s="179">
        <v>113.54900000000001</v>
      </c>
      <c r="H188" s="179">
        <v>113.346</v>
      </c>
      <c r="I188" s="180">
        <f t="shared" si="39"/>
        <v>0.20300000000000296</v>
      </c>
      <c r="J188" s="179">
        <v>114.827</v>
      </c>
      <c r="K188" s="177" t="d">
        <v>2021-10-12T16:09:00.00000029336660775</v>
      </c>
      <c r="L188" s="179">
        <v>113.509</v>
      </c>
      <c r="M188" s="181">
        <f t="shared" si="40"/>
        <v>-0.04</v>
      </c>
      <c r="N188" s="182">
        <f t="shared" si="41"/>
        <v>-0.2</v>
      </c>
      <c r="O188" s="183">
        <f t="shared" si="42"/>
        <v>0</v>
      </c>
      <c r="P188" s="184">
        <f t="shared" si="43"/>
        <v>0</v>
      </c>
      <c r="Q188" s="184">
        <f t="shared" si="44"/>
        <v>-0.2</v>
      </c>
      <c r="R18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50407.5</v>
      </c>
      <c r="T18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188" s="186">
        <f ca="1">IF(Tabla33610673[[#This Row],[Equity]]&lt;Tabla33610673[[#This Row],[Equity Peak]],(Tabla33610673[[#This Row],[Equity Peak]]-Tabla33610673[[#This Row],[Equity]])/Tabla33610673[[#This Row],[Equity Peak]],"")</f>
        <v>1.7158176943699734E-2</v>
      </c>
      <c r="V188" s="187">
        <f t="shared" si="45"/>
        <v>-0.2</v>
      </c>
      <c r="W188" s="187">
        <f t="shared" si="46"/>
        <v>0</v>
      </c>
      <c r="X188" s="187">
        <f t="shared" si="47"/>
        <v>0</v>
      </c>
      <c r="Y188" s="187">
        <f t="shared" si="48"/>
        <v>0</v>
      </c>
      <c r="Z188" s="187">
        <f t="shared" si="49"/>
        <v>0</v>
      </c>
      <c r="AA188" s="183">
        <f t="shared" si="50"/>
        <v>0</v>
      </c>
      <c r="AB188" s="187">
        <f t="shared" si="51"/>
        <v>0</v>
      </c>
      <c r="AC188" s="183">
        <f t="shared" si="52"/>
        <v>0</v>
      </c>
      <c r="AD188" s="188">
        <f t="shared" si="53"/>
        <v>2.7083333334303461E-2</v>
      </c>
      <c r="AE188" s="188">
        <f t="shared" si="54"/>
        <v>0</v>
      </c>
      <c r="AF188" s="188">
        <f t="shared" si="55"/>
        <v>2.7083333334303461E-2</v>
      </c>
      <c r="AG188" s="188">
        <f t="shared" si="56"/>
        <v>0</v>
      </c>
    </row>
    <row r="189" spans="2:33" ht="15" customHeight="1" x14ac:dyDescent="0.15">
      <c r="B189" s="174" t="s">
        <v>19</v>
      </c>
      <c r="C189" s="175" t="s">
        <v>15</v>
      </c>
      <c r="D189" s="176" t="str">
        <f t="shared" si="38"/>
        <v>C</v>
      </c>
      <c r="E189" s="177" t="d">
        <v>2021-10-12T08:15:00.000</v>
      </c>
      <c r="F189" s="178" t="s">
        <v>77</v>
      </c>
      <c r="G189" s="179">
        <v>1760.14</v>
      </c>
      <c r="H189" s="179">
        <v>1755.52</v>
      </c>
      <c r="I189" s="180">
        <f t="shared" si="39"/>
        <v>4.6200000000001182</v>
      </c>
      <c r="J189" s="179">
        <v>1782.33</v>
      </c>
      <c r="K189" s="177" t="d">
        <v>2021-10-12T15:36:59.99999969266355025</v>
      </c>
      <c r="L189" s="179">
        <v>1755.52</v>
      </c>
      <c r="M189" s="181">
        <f t="shared" si="40"/>
        <v>-4.62</v>
      </c>
      <c r="N189" s="182">
        <f t="shared" si="41"/>
        <v>-1</v>
      </c>
      <c r="O189" s="183">
        <f t="shared" si="42"/>
        <v>0</v>
      </c>
      <c r="P189" s="184">
        <f t="shared" si="43"/>
        <v>0</v>
      </c>
      <c r="Q189" s="184">
        <f t="shared" si="44"/>
        <v>-1</v>
      </c>
      <c r="R18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50457.5</v>
      </c>
      <c r="T18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189" s="186">
        <f ca="1">IF(Tabla33610673[[#This Row],[Equity]]&lt;Tabla33610673[[#This Row],[Equity Peak]],(Tabla33610673[[#This Row],[Equity Peak]]-Tabla33610673[[#This Row],[Equity]])/Tabla33610673[[#This Row],[Equity Peak]],"")</f>
        <v>1.6183280526444067E-2</v>
      </c>
      <c r="V189" s="187">
        <f t="shared" si="45"/>
        <v>0</v>
      </c>
      <c r="W189" s="187">
        <f t="shared" si="46"/>
        <v>0</v>
      </c>
      <c r="X189" s="187">
        <f t="shared" si="47"/>
        <v>-1</v>
      </c>
      <c r="Y189" s="187">
        <f t="shared" si="48"/>
        <v>0</v>
      </c>
      <c r="Z189" s="187">
        <f t="shared" si="49"/>
        <v>0</v>
      </c>
      <c r="AA189" s="183">
        <f t="shared" si="50"/>
        <v>0</v>
      </c>
      <c r="AB189" s="187">
        <f t="shared" si="51"/>
        <v>0</v>
      </c>
      <c r="AC189" s="183">
        <f t="shared" si="52"/>
        <v>0</v>
      </c>
      <c r="AD189" s="188">
        <f t="shared" si="53"/>
        <v>0.30694444444088731</v>
      </c>
      <c r="AE189" s="188">
        <f t="shared" si="54"/>
        <v>0</v>
      </c>
      <c r="AF189" s="188">
        <f t="shared" si="55"/>
        <v>0.30694444444088731</v>
      </c>
      <c r="AG189" s="188">
        <f t="shared" si="56"/>
        <v>0</v>
      </c>
    </row>
    <row r="190" spans="2:33" ht="15" customHeight="1" x14ac:dyDescent="0.15">
      <c r="B190" s="174" t="s">
        <v>5</v>
      </c>
      <c r="C190" s="175" t="s">
        <v>13</v>
      </c>
      <c r="D190" s="176" t="str">
        <f t="shared" si="38"/>
        <v>C</v>
      </c>
      <c r="E190" s="177" t="d">
        <v>2021-10-12T02:00:00.00000020954757600</v>
      </c>
      <c r="F190" s="178" t="s">
        <v>81</v>
      </c>
      <c r="G190" s="179">
        <v>14674.44</v>
      </c>
      <c r="H190" s="179">
        <v>14743.6</v>
      </c>
      <c r="I190" s="180">
        <f t="shared" si="39"/>
        <v>69.159999999999854</v>
      </c>
      <c r="J190" s="179">
        <v>14259.48</v>
      </c>
      <c r="K190" s="177" t="d">
        <v>2021-10-12T12:01:59.99999976251274675</v>
      </c>
      <c r="L190" s="179">
        <v>14714.5</v>
      </c>
      <c r="M190" s="181">
        <f t="shared" si="40"/>
        <v>-40.06</v>
      </c>
      <c r="N190" s="182">
        <f t="shared" si="41"/>
        <v>-0.57999999999999996</v>
      </c>
      <c r="O190" s="183">
        <f t="shared" si="42"/>
        <v>0</v>
      </c>
      <c r="P190" s="184">
        <f t="shared" si="43"/>
        <v>0</v>
      </c>
      <c r="Q190" s="184">
        <f t="shared" si="44"/>
        <v>-0.57999999999999996</v>
      </c>
      <c r="R19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50707.5</v>
      </c>
      <c r="T19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190" s="186">
        <f ca="1">IF(Tabla33610673[[#This Row],[Equity]]&lt;Tabla33610673[[#This Row],[Equity Peak]],(Tabla33610673[[#This Row],[Equity Peak]]-Tabla33610673[[#This Row],[Equity]])/Tabla33610673[[#This Row],[Equity Peak]],"")</f>
        <v>1.1308798440165732E-2</v>
      </c>
      <c r="V190" s="187">
        <f t="shared" si="45"/>
        <v>0</v>
      </c>
      <c r="W190" s="187">
        <f t="shared" si="46"/>
        <v>0</v>
      </c>
      <c r="X190" s="187">
        <f t="shared" si="47"/>
        <v>0</v>
      </c>
      <c r="Y190" s="187">
        <f t="shared" si="48"/>
        <v>0</v>
      </c>
      <c r="Z190" s="187">
        <f t="shared" si="49"/>
        <v>-0.57999999999999996</v>
      </c>
      <c r="AA190" s="183">
        <f t="shared" si="50"/>
        <v>0</v>
      </c>
      <c r="AB190" s="187">
        <f t="shared" si="51"/>
        <v>0</v>
      </c>
      <c r="AC190" s="183">
        <f t="shared" si="52"/>
        <v>0</v>
      </c>
      <c r="AD190" s="188">
        <f t="shared" si="53"/>
        <v>0.41805555555038154</v>
      </c>
      <c r="AE190" s="188">
        <f t="shared" si="54"/>
        <v>0</v>
      </c>
      <c r="AF190" s="188">
        <f t="shared" si="55"/>
        <v>0.41805555555038154</v>
      </c>
      <c r="AG190" s="188">
        <f t="shared" si="56"/>
        <v>0</v>
      </c>
    </row>
    <row r="191" spans="2:33" ht="15" customHeight="1" x14ac:dyDescent="0.15">
      <c r="B191" s="174" t="s">
        <v>5</v>
      </c>
      <c r="C191" s="175" t="s">
        <v>13</v>
      </c>
      <c r="D191" s="176" t="str">
        <f t="shared" si="38"/>
        <v>C</v>
      </c>
      <c r="E191" s="177" t="d">
        <v>2021-10-11T23:00:00.00000020954757600</v>
      </c>
      <c r="F191" s="178" t="s">
        <v>82</v>
      </c>
      <c r="G191" s="179">
        <v>4358.5600000000004</v>
      </c>
      <c r="H191" s="179">
        <v>4383.38</v>
      </c>
      <c r="I191" s="180">
        <f t="shared" si="39"/>
        <v>24.819999999999709</v>
      </c>
      <c r="J191" s="179">
        <v>4197.2299999999996</v>
      </c>
      <c r="K191" s="177" t="d">
        <v>2021-10-12T11:48:00.00000016763806350</v>
      </c>
      <c r="L191" s="179">
        <v>4353.2700000000004</v>
      </c>
      <c r="M191" s="181">
        <f t="shared" si="40"/>
        <v>5.29</v>
      </c>
      <c r="N191" s="182">
        <f t="shared" si="41"/>
        <v>0.21</v>
      </c>
      <c r="O191" s="183">
        <f t="shared" si="42"/>
        <v>0</v>
      </c>
      <c r="P191" s="184">
        <f t="shared" si="43"/>
        <v>0.21</v>
      </c>
      <c r="Q191" s="184">
        <f t="shared" si="44"/>
        <v>0</v>
      </c>
      <c r="R19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50852.5</v>
      </c>
      <c r="T19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191" s="186">
        <f ca="1">IF(Tabla33610673[[#This Row],[Equity]]&lt;Tabla33610673[[#This Row],[Equity Peak]],(Tabla33610673[[#This Row],[Equity Peak]]-Tabla33610673[[#This Row],[Equity]])/Tabla33610673[[#This Row],[Equity Peak]],"")</f>
        <v>8.4815988301242991E-3</v>
      </c>
      <c r="V191" s="187">
        <f t="shared" si="45"/>
        <v>0</v>
      </c>
      <c r="W191" s="187">
        <f t="shared" si="46"/>
        <v>0</v>
      </c>
      <c r="X191" s="187">
        <f t="shared" si="47"/>
        <v>0</v>
      </c>
      <c r="Y191" s="187">
        <f t="shared" si="48"/>
        <v>0</v>
      </c>
      <c r="Z191" s="187">
        <f t="shared" si="49"/>
        <v>0.21</v>
      </c>
      <c r="AA191" s="183">
        <f t="shared" si="50"/>
        <v>0</v>
      </c>
      <c r="AB191" s="187">
        <f t="shared" si="51"/>
        <v>0</v>
      </c>
      <c r="AC191" s="183">
        <f t="shared" si="52"/>
        <v>0</v>
      </c>
      <c r="AD191" s="188">
        <f t="shared" si="53"/>
        <v>0.53333333333284827</v>
      </c>
      <c r="AE191" s="188">
        <f t="shared" si="54"/>
        <v>0.53333333333284827</v>
      </c>
      <c r="AF191" s="188">
        <f t="shared" si="55"/>
        <v>0</v>
      </c>
      <c r="AG191" s="188">
        <f t="shared" si="56"/>
        <v>0</v>
      </c>
    </row>
    <row r="192" spans="2:33" ht="15" customHeight="1" x14ac:dyDescent="0.15">
      <c r="B192" s="174" t="s">
        <v>5</v>
      </c>
      <c r="C192" s="175" t="s">
        <v>15</v>
      </c>
      <c r="D192" s="176" t="str">
        <f t="shared" si="38"/>
        <v>C</v>
      </c>
      <c r="E192" s="177" t="d">
        <v>2021-10-11T16:44:59.99999979045242400</v>
      </c>
      <c r="F192" s="178" t="s">
        <v>82</v>
      </c>
      <c r="G192" s="179">
        <v>4395.38</v>
      </c>
      <c r="H192" s="179">
        <v>4371.0200000000004</v>
      </c>
      <c r="I192" s="180">
        <f t="shared" si="39"/>
        <v>24.359999999999673</v>
      </c>
      <c r="J192" s="179">
        <v>4553.75</v>
      </c>
      <c r="K192" s="177" t="d">
        <v>2021-10-11T19:53:00.000000097788870375</v>
      </c>
      <c r="L192" s="179">
        <v>4389.1899999999996</v>
      </c>
      <c r="M192" s="181">
        <f t="shared" si="40"/>
        <v>-6.19</v>
      </c>
      <c r="N192" s="182">
        <f t="shared" si="41"/>
        <v>-0.25</v>
      </c>
      <c r="O192" s="183">
        <f t="shared" si="42"/>
        <v>0</v>
      </c>
      <c r="P192" s="184">
        <f t="shared" si="43"/>
        <v>0</v>
      </c>
      <c r="Q192" s="184">
        <f t="shared" si="44"/>
        <v>-0.25</v>
      </c>
      <c r="R19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50800</v>
      </c>
      <c r="T19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192" s="186">
        <f ca="1">IF(Tabla33610673[[#This Row],[Equity]]&lt;Tabla33610673[[#This Row],[Equity Peak]],(Tabla33610673[[#This Row],[Equity Peak]]-Tabla33610673[[#This Row],[Equity]])/Tabla33610673[[#This Row],[Equity Peak]],"")</f>
        <v>9.5052400682427499E-3</v>
      </c>
      <c r="V192" s="187">
        <f t="shared" si="45"/>
        <v>0</v>
      </c>
      <c r="W192" s="187">
        <f t="shared" si="46"/>
        <v>0</v>
      </c>
      <c r="X192" s="187">
        <f t="shared" si="47"/>
        <v>0</v>
      </c>
      <c r="Y192" s="187">
        <f t="shared" si="48"/>
        <v>0</v>
      </c>
      <c r="Z192" s="187">
        <f t="shared" si="49"/>
        <v>-0.25</v>
      </c>
      <c r="AA192" s="183">
        <f t="shared" si="50"/>
        <v>0</v>
      </c>
      <c r="AB192" s="187">
        <f t="shared" si="51"/>
        <v>0</v>
      </c>
      <c r="AC192" s="183">
        <f t="shared" si="52"/>
        <v>0</v>
      </c>
      <c r="AD192" s="188">
        <f t="shared" si="53"/>
        <v>0.13055555555911269</v>
      </c>
      <c r="AE192" s="188">
        <f t="shared" si="54"/>
        <v>0</v>
      </c>
      <c r="AF192" s="188">
        <f t="shared" si="55"/>
        <v>0.13055555555911269</v>
      </c>
      <c r="AG192" s="188">
        <f t="shared" si="56"/>
        <v>0</v>
      </c>
    </row>
    <row r="193" spans="2:33" ht="15" customHeight="1" x14ac:dyDescent="0.15">
      <c r="B193" s="174" t="s">
        <v>7</v>
      </c>
      <c r="C193" s="175" t="s">
        <v>15</v>
      </c>
      <c r="D193" s="176" t="str">
        <f t="shared" si="38"/>
        <v>C</v>
      </c>
      <c r="E193" s="177" t="d">
        <v>2021-10-08T18:30:00.00000020954757600</v>
      </c>
      <c r="F193" s="178" t="s">
        <v>103</v>
      </c>
      <c r="G193" s="179">
        <v>112.131</v>
      </c>
      <c r="H193" s="179">
        <v>111.94</v>
      </c>
      <c r="I193" s="180">
        <f t="shared" si="39"/>
        <v>0.1910000000000025</v>
      </c>
      <c r="J193" s="179">
        <v>113.333</v>
      </c>
      <c r="K193" s="177" t="d">
        <v>2021-10-11T17:54:00.00000008381903175</v>
      </c>
      <c r="L193" s="179">
        <v>113.333</v>
      </c>
      <c r="M193" s="181">
        <f t="shared" si="40"/>
        <v>1.202</v>
      </c>
      <c r="N193" s="182">
        <f t="shared" si="41"/>
        <v>6.29</v>
      </c>
      <c r="O193" s="183">
        <f t="shared" si="42"/>
        <v>0</v>
      </c>
      <c r="P193" s="184">
        <f t="shared" si="43"/>
        <v>6.29</v>
      </c>
      <c r="Q193" s="184">
        <f t="shared" si="44"/>
        <v>0</v>
      </c>
      <c r="R19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50862.5</v>
      </c>
      <c r="T19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193" s="186">
        <f ca="1">IF(Tabla33610673[[#This Row],[Equity]]&lt;Tabla33610673[[#This Row],[Equity Peak]],(Tabla33610673[[#This Row],[Equity Peak]]-Tabla33610673[[#This Row],[Equity]])/Tabla33610673[[#This Row],[Equity Peak]],"")</f>
        <v>8.2866195466731653E-3</v>
      </c>
      <c r="V193" s="187">
        <f t="shared" si="45"/>
        <v>6.29</v>
      </c>
      <c r="W193" s="187">
        <f t="shared" si="46"/>
        <v>0</v>
      </c>
      <c r="X193" s="187">
        <f t="shared" si="47"/>
        <v>0</v>
      </c>
      <c r="Y193" s="187">
        <f t="shared" si="48"/>
        <v>0</v>
      </c>
      <c r="Z193" s="187">
        <f t="shared" si="49"/>
        <v>0</v>
      </c>
      <c r="AA193" s="183">
        <f t="shared" si="50"/>
        <v>0</v>
      </c>
      <c r="AB193" s="187">
        <f t="shared" si="51"/>
        <v>0</v>
      </c>
      <c r="AC193" s="183">
        <f t="shared" si="52"/>
        <v>0</v>
      </c>
      <c r="AD193" s="188">
        <f t="shared" si="53"/>
        <v>2.9749999999985448</v>
      </c>
      <c r="AE193" s="188">
        <f t="shared" si="54"/>
        <v>2.9749999999985448</v>
      </c>
      <c r="AF193" s="188">
        <f t="shared" si="55"/>
        <v>0</v>
      </c>
      <c r="AG193" s="188">
        <f t="shared" si="56"/>
        <v>0</v>
      </c>
    </row>
    <row r="194" spans="2:33" ht="15" customHeight="1" x14ac:dyDescent="0.15">
      <c r="B194" s="174" t="s">
        <v>5</v>
      </c>
      <c r="C194" s="175" t="s">
        <v>13</v>
      </c>
      <c r="D194" s="176" t="str">
        <f t="shared" si="38"/>
        <v>C</v>
      </c>
      <c r="E194" s="177" t="d">
        <v>2021-10-11T02:45:00.00000020954757600</v>
      </c>
      <c r="F194" s="178" t="s">
        <v>82</v>
      </c>
      <c r="G194" s="179">
        <v>4367.62</v>
      </c>
      <c r="H194" s="179">
        <v>4394.03</v>
      </c>
      <c r="I194" s="180">
        <f t="shared" si="39"/>
        <v>26.409999999999854</v>
      </c>
      <c r="J194" s="179">
        <v>4195.9399999999996</v>
      </c>
      <c r="K194" s="177" t="d">
        <v>2021-10-11T16:41:59.99999983236193650</v>
      </c>
      <c r="L194" s="179">
        <v>4392.2</v>
      </c>
      <c r="M194" s="181">
        <f t="shared" si="40"/>
        <v>-24.58</v>
      </c>
      <c r="N194" s="182">
        <f t="shared" si="41"/>
        <v>-0.93</v>
      </c>
      <c r="O194" s="183">
        <f t="shared" si="42"/>
        <v>0</v>
      </c>
      <c r="P194" s="184">
        <f t="shared" si="43"/>
        <v>0</v>
      </c>
      <c r="Q194" s="184">
        <f t="shared" si="44"/>
        <v>-0.93</v>
      </c>
      <c r="R19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49290</v>
      </c>
      <c r="T19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194" s="186">
        <f ca="1">IF(Tabla33610673[[#This Row],[Equity]]&lt;Tabla33610673[[#This Row],[Equity Peak]],(Tabla33610673[[#This Row],[Equity Peak]]-Tabla33610673[[#This Row],[Equity]])/Tabla33610673[[#This Row],[Equity Peak]],"")</f>
        <v>3.8947111869363879E-2</v>
      </c>
      <c r="V194" s="187">
        <f t="shared" si="45"/>
        <v>0</v>
      </c>
      <c r="W194" s="187">
        <f t="shared" si="46"/>
        <v>0</v>
      </c>
      <c r="X194" s="187">
        <f t="shared" si="47"/>
        <v>0</v>
      </c>
      <c r="Y194" s="187">
        <f t="shared" si="48"/>
        <v>0</v>
      </c>
      <c r="Z194" s="187">
        <f t="shared" si="49"/>
        <v>-0.93</v>
      </c>
      <c r="AA194" s="183">
        <f t="shared" si="50"/>
        <v>0</v>
      </c>
      <c r="AB194" s="187">
        <f t="shared" si="51"/>
        <v>0</v>
      </c>
      <c r="AC194" s="183">
        <f t="shared" si="52"/>
        <v>0</v>
      </c>
      <c r="AD194" s="188">
        <f t="shared" si="53"/>
        <v>0.58124999999563443</v>
      </c>
      <c r="AE194" s="188">
        <f t="shared" si="54"/>
        <v>0</v>
      </c>
      <c r="AF194" s="188">
        <f t="shared" si="55"/>
        <v>0.58124999999563443</v>
      </c>
      <c r="AG194" s="188">
        <f t="shared" si="56"/>
        <v>0</v>
      </c>
    </row>
    <row r="195" spans="2:33" ht="15" customHeight="1" x14ac:dyDescent="0.15">
      <c r="B195" s="174" t="s">
        <v>5</v>
      </c>
      <c r="C195" s="175" t="s">
        <v>13</v>
      </c>
      <c r="D195" s="176" t="str">
        <f t="shared" si="38"/>
        <v>C</v>
      </c>
      <c r="E195" s="177" t="d">
        <v>2021-10-11T01:15:00.00000020954757600</v>
      </c>
      <c r="F195" s="178" t="s">
        <v>81</v>
      </c>
      <c r="G195" s="179">
        <v>14789.35</v>
      </c>
      <c r="H195" s="179">
        <v>14853.49</v>
      </c>
      <c r="I195" s="180">
        <f t="shared" si="39"/>
        <v>64.139999999999418</v>
      </c>
      <c r="J195" s="179">
        <v>14404.53</v>
      </c>
      <c r="K195" s="177" t="d">
        <v>2021-10-11T16:38:00.00000030733644975</v>
      </c>
      <c r="L195" s="179">
        <v>14801.28</v>
      </c>
      <c r="M195" s="181">
        <f t="shared" si="40"/>
        <v>-11.93</v>
      </c>
      <c r="N195" s="182">
        <f t="shared" si="41"/>
        <v>-0.19</v>
      </c>
      <c r="O195" s="183">
        <f t="shared" si="42"/>
        <v>0</v>
      </c>
      <c r="P195" s="184">
        <f t="shared" si="43"/>
        <v>0</v>
      </c>
      <c r="Q195" s="184">
        <f t="shared" si="44"/>
        <v>-0.19</v>
      </c>
      <c r="R19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49522.5</v>
      </c>
      <c r="T19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195" s="186">
        <f ca="1">IF(Tabla33610673[[#This Row],[Equity]]&lt;Tabla33610673[[#This Row],[Equity Peak]],(Tabla33610673[[#This Row],[Equity Peak]]-Tabla33610673[[#This Row],[Equity]])/Tabla33610673[[#This Row],[Equity Peak]],"")</f>
        <v>3.4413843529125028E-2</v>
      </c>
      <c r="V195" s="187">
        <f t="shared" si="45"/>
        <v>0</v>
      </c>
      <c r="W195" s="187">
        <f t="shared" si="46"/>
        <v>0</v>
      </c>
      <c r="X195" s="187">
        <f t="shared" si="47"/>
        <v>0</v>
      </c>
      <c r="Y195" s="187">
        <f t="shared" si="48"/>
        <v>0</v>
      </c>
      <c r="Z195" s="187">
        <f t="shared" si="49"/>
        <v>-0.19</v>
      </c>
      <c r="AA195" s="183">
        <f t="shared" si="50"/>
        <v>0</v>
      </c>
      <c r="AB195" s="187">
        <f t="shared" si="51"/>
        <v>0</v>
      </c>
      <c r="AC195" s="183">
        <f t="shared" si="52"/>
        <v>0</v>
      </c>
      <c r="AD195" s="188">
        <f t="shared" si="53"/>
        <v>0.64097222222335404</v>
      </c>
      <c r="AE195" s="188">
        <f t="shared" si="54"/>
        <v>0</v>
      </c>
      <c r="AF195" s="188">
        <f t="shared" si="55"/>
        <v>0.64097222222335404</v>
      </c>
      <c r="AG195" s="188">
        <f t="shared" si="56"/>
        <v>0</v>
      </c>
    </row>
    <row r="196" spans="2:33" ht="15" customHeight="1" x14ac:dyDescent="0.15">
      <c r="B196" s="174" t="s">
        <v>19</v>
      </c>
      <c r="C196" s="175" t="s">
        <v>13</v>
      </c>
      <c r="D196" s="176" t="str">
        <f t="shared" si="38"/>
        <v>C</v>
      </c>
      <c r="E196" s="177" t="d">
        <v>2021-10-11T15:59:59.99999979045242400</v>
      </c>
      <c r="F196" s="178" t="s">
        <v>77</v>
      </c>
      <c r="G196" s="179">
        <v>1750.88</v>
      </c>
      <c r="H196" s="179">
        <v>1755.87</v>
      </c>
      <c r="I196" s="180">
        <f t="shared" si="39"/>
        <v>4.9899999999997817</v>
      </c>
      <c r="J196" s="179">
        <v>1726.92</v>
      </c>
      <c r="K196" s="177" t="d">
        <v>2021-10-11T16:18:00.00000016763806350</v>
      </c>
      <c r="L196" s="179">
        <v>1755.87</v>
      </c>
      <c r="M196" s="181">
        <f t="shared" si="40"/>
        <v>-4.99</v>
      </c>
      <c r="N196" s="182">
        <f t="shared" si="41"/>
        <v>-1</v>
      </c>
      <c r="O196" s="183">
        <f t="shared" si="42"/>
        <v>0</v>
      </c>
      <c r="P196" s="184">
        <f t="shared" si="43"/>
        <v>0</v>
      </c>
      <c r="Q196" s="184">
        <f t="shared" si="44"/>
        <v>-1</v>
      </c>
      <c r="R19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49570</v>
      </c>
      <c r="T19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196" s="186">
        <f ca="1">IF(Tabla33610673[[#This Row],[Equity]]&lt;Tabla33610673[[#This Row],[Equity Peak]],(Tabla33610673[[#This Row],[Equity Peak]]-Tabla33610673[[#This Row],[Equity]])/Tabla33610673[[#This Row],[Equity Peak]],"")</f>
        <v>3.3487691932732148E-2</v>
      </c>
      <c r="V196" s="187">
        <f t="shared" si="45"/>
        <v>0</v>
      </c>
      <c r="W196" s="187">
        <f t="shared" si="46"/>
        <v>0</v>
      </c>
      <c r="X196" s="187">
        <f t="shared" si="47"/>
        <v>-1</v>
      </c>
      <c r="Y196" s="187">
        <f t="shared" si="48"/>
        <v>0</v>
      </c>
      <c r="Z196" s="187">
        <f t="shared" si="49"/>
        <v>0</v>
      </c>
      <c r="AA196" s="183">
        <f t="shared" si="50"/>
        <v>0</v>
      </c>
      <c r="AB196" s="187">
        <f t="shared" si="51"/>
        <v>0</v>
      </c>
      <c r="AC196" s="183">
        <f t="shared" si="52"/>
        <v>0</v>
      </c>
      <c r="AD196" s="188">
        <f t="shared" si="53"/>
        <v>1.2500000004365575E-2</v>
      </c>
      <c r="AE196" s="188">
        <f t="shared" si="54"/>
        <v>0</v>
      </c>
      <c r="AF196" s="188">
        <f t="shared" si="55"/>
        <v>1.2500000004365575E-2</v>
      </c>
      <c r="AG196" s="188">
        <f t="shared" si="56"/>
        <v>0</v>
      </c>
    </row>
    <row r="197" spans="2:33" ht="15" customHeight="1" x14ac:dyDescent="0.15">
      <c r="B197" s="174" t="s">
        <v>7</v>
      </c>
      <c r="C197" s="175" t="s">
        <v>15</v>
      </c>
      <c r="D197" s="176" t="str">
        <f t="shared" si="38"/>
        <v>C</v>
      </c>
      <c r="E197" s="177" t="d">
        <v>2021-10-08T17:15:00.000</v>
      </c>
      <c r="F197" s="178" t="s">
        <v>102</v>
      </c>
      <c r="G197" s="179">
        <v>152.69200000000001</v>
      </c>
      <c r="H197" s="179">
        <v>152.38499999999999</v>
      </c>
      <c r="I197" s="180">
        <f t="shared" si="39"/>
        <v>0.30700000000001637</v>
      </c>
      <c r="J197" s="179">
        <v>154.327</v>
      </c>
      <c r="K197" s="177" t="d">
        <v>2021-10-11T15:39:00.00000008381903175</v>
      </c>
      <c r="L197" s="179">
        <v>154.327</v>
      </c>
      <c r="M197" s="181">
        <f t="shared" si="40"/>
        <v>1.635</v>
      </c>
      <c r="N197" s="182">
        <f t="shared" si="41"/>
        <v>5.33</v>
      </c>
      <c r="O197" s="183">
        <f t="shared" si="42"/>
        <v>0</v>
      </c>
      <c r="P197" s="184">
        <f t="shared" si="43"/>
        <v>5.33</v>
      </c>
      <c r="Q197" s="184">
        <f t="shared" si="44"/>
        <v>0</v>
      </c>
      <c r="R19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49820</v>
      </c>
      <c r="T19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197" s="186">
        <f ca="1">IF(Tabla33610673[[#This Row],[Equity]]&lt;Tabla33610673[[#This Row],[Equity Peak]],(Tabla33610673[[#This Row],[Equity Peak]]-Tabla33610673[[#This Row],[Equity]])/Tabla33610673[[#This Row],[Equity Peak]],"")</f>
        <v>2.8613209846453814E-2</v>
      </c>
      <c r="V197" s="187">
        <f t="shared" si="45"/>
        <v>5.33</v>
      </c>
      <c r="W197" s="187">
        <f t="shared" si="46"/>
        <v>0</v>
      </c>
      <c r="X197" s="187">
        <f t="shared" si="47"/>
        <v>0</v>
      </c>
      <c r="Y197" s="187">
        <f t="shared" si="48"/>
        <v>0</v>
      </c>
      <c r="Z197" s="187">
        <f t="shared" si="49"/>
        <v>0</v>
      </c>
      <c r="AA197" s="183">
        <f t="shared" si="50"/>
        <v>0</v>
      </c>
      <c r="AB197" s="187">
        <f t="shared" si="51"/>
        <v>0</v>
      </c>
      <c r="AC197" s="183">
        <f t="shared" si="52"/>
        <v>0</v>
      </c>
      <c r="AD197" s="188">
        <f t="shared" si="53"/>
        <v>2.9333333333343035</v>
      </c>
      <c r="AE197" s="188">
        <f t="shared" si="54"/>
        <v>2.9333333333343035</v>
      </c>
      <c r="AF197" s="188">
        <f t="shared" si="55"/>
        <v>0</v>
      </c>
      <c r="AG197" s="188">
        <f t="shared" si="56"/>
        <v>0</v>
      </c>
    </row>
    <row r="198" spans="2:33" ht="15" customHeight="1" x14ac:dyDescent="0.15">
      <c r="B198" s="174" t="s">
        <v>19</v>
      </c>
      <c r="C198" s="175" t="s">
        <v>13</v>
      </c>
      <c r="D198" s="176" t="str">
        <f t="shared" si="38"/>
        <v>C</v>
      </c>
      <c r="E198" s="177" t="d">
        <v>2021-10-11T01:30:00.000</v>
      </c>
      <c r="F198" s="178" t="s">
        <v>77</v>
      </c>
      <c r="G198" s="179">
        <v>1752.77</v>
      </c>
      <c r="H198" s="179">
        <v>1757.74</v>
      </c>
      <c r="I198" s="180">
        <f t="shared" si="39"/>
        <v>4.9700000000000273</v>
      </c>
      <c r="J198" s="179">
        <v>1728.9</v>
      </c>
      <c r="K198" s="177" t="d">
        <v>2021-10-11T03:08:00.00000030733644975</v>
      </c>
      <c r="L198" s="179">
        <v>1757.74</v>
      </c>
      <c r="M198" s="181">
        <f t="shared" si="40"/>
        <v>-4.97</v>
      </c>
      <c r="N198" s="182">
        <f t="shared" si="41"/>
        <v>-1</v>
      </c>
      <c r="O198" s="183">
        <f t="shared" si="42"/>
        <v>0</v>
      </c>
      <c r="P198" s="184">
        <f t="shared" si="43"/>
        <v>0</v>
      </c>
      <c r="Q198" s="184">
        <f t="shared" si="44"/>
        <v>-1</v>
      </c>
      <c r="R19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48487.5</v>
      </c>
      <c r="T19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198" s="186">
        <f ca="1">IF(Tabla33610673[[#This Row],[Equity]]&lt;Tabla33610673[[#This Row],[Equity Peak]],(Tabla33610673[[#This Row],[Equity Peak]]-Tabla33610673[[#This Row],[Equity]])/Tabla33610673[[#This Row],[Equity Peak]],"")</f>
        <v>5.4594199366317327E-2</v>
      </c>
      <c r="V198" s="187">
        <f t="shared" si="45"/>
        <v>0</v>
      </c>
      <c r="W198" s="187">
        <f t="shared" si="46"/>
        <v>0</v>
      </c>
      <c r="X198" s="187">
        <f t="shared" si="47"/>
        <v>-1</v>
      </c>
      <c r="Y198" s="187">
        <f t="shared" si="48"/>
        <v>0</v>
      </c>
      <c r="Z198" s="187">
        <f t="shared" si="49"/>
        <v>0</v>
      </c>
      <c r="AA198" s="183">
        <f t="shared" si="50"/>
        <v>0</v>
      </c>
      <c r="AB198" s="187">
        <f t="shared" si="51"/>
        <v>0</v>
      </c>
      <c r="AC198" s="183">
        <f t="shared" si="52"/>
        <v>0</v>
      </c>
      <c r="AD198" s="188">
        <f t="shared" si="53"/>
        <v>6.805555555911269E-2</v>
      </c>
      <c r="AE198" s="188">
        <f t="shared" si="54"/>
        <v>0</v>
      </c>
      <c r="AF198" s="188">
        <f t="shared" si="55"/>
        <v>6.805555555911269E-2</v>
      </c>
      <c r="AG198" s="188">
        <f t="shared" si="56"/>
        <v>0</v>
      </c>
    </row>
    <row r="199" spans="2:33" ht="15" customHeight="1" x14ac:dyDescent="0.15">
      <c r="B199" s="174" t="s">
        <v>5</v>
      </c>
      <c r="C199" s="175" t="s">
        <v>13</v>
      </c>
      <c r="D199" s="176" t="str">
        <f t="shared" si="38"/>
        <v>C</v>
      </c>
      <c r="E199" s="177" t="d">
        <v>2021-10-08T20:29:59.99999979045242400</v>
      </c>
      <c r="F199" s="178" t="s">
        <v>81</v>
      </c>
      <c r="G199" s="179">
        <v>14804.2</v>
      </c>
      <c r="H199" s="179">
        <v>14872.71</v>
      </c>
      <c r="I199" s="180">
        <f t="shared" si="39"/>
        <v>68.509999999998399</v>
      </c>
      <c r="J199" s="179">
        <v>14393.15</v>
      </c>
      <c r="K199" s="177" t="d">
        <v>2021-10-08T21:27:59.99999981839210125</v>
      </c>
      <c r="L199" s="179">
        <v>14872.71</v>
      </c>
      <c r="M199" s="181">
        <f t="shared" si="40"/>
        <v>-68.510000000000005</v>
      </c>
      <c r="N199" s="182">
        <f t="shared" si="41"/>
        <v>-1</v>
      </c>
      <c r="O199" s="183">
        <f t="shared" si="42"/>
        <v>0</v>
      </c>
      <c r="P199" s="184">
        <f t="shared" si="43"/>
        <v>0</v>
      </c>
      <c r="Q199" s="184">
        <f t="shared" si="44"/>
        <v>-1</v>
      </c>
      <c r="R19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48737.5</v>
      </c>
      <c r="T19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199" s="186">
        <f ca="1">IF(Tabla33610673[[#This Row],[Equity]]&lt;Tabla33610673[[#This Row],[Equity Peak]],(Tabla33610673[[#This Row],[Equity Peak]]-Tabla33610673[[#This Row],[Equity]])/Tabla33610673[[#This Row],[Equity Peak]],"")</f>
        <v>4.9719717280038996E-2</v>
      </c>
      <c r="V199" s="187">
        <f t="shared" si="45"/>
        <v>0</v>
      </c>
      <c r="W199" s="187">
        <f t="shared" si="46"/>
        <v>0</v>
      </c>
      <c r="X199" s="187">
        <f t="shared" si="47"/>
        <v>0</v>
      </c>
      <c r="Y199" s="187">
        <f t="shared" si="48"/>
        <v>0</v>
      </c>
      <c r="Z199" s="187">
        <f t="shared" si="49"/>
        <v>-1</v>
      </c>
      <c r="AA199" s="183">
        <f t="shared" si="50"/>
        <v>0</v>
      </c>
      <c r="AB199" s="187">
        <f t="shared" si="51"/>
        <v>0</v>
      </c>
      <c r="AC199" s="183">
        <f t="shared" si="52"/>
        <v>0</v>
      </c>
      <c r="AD199" s="188">
        <f t="shared" si="53"/>
        <v>4.0277777778101154E-2</v>
      </c>
      <c r="AE199" s="188">
        <f t="shared" si="54"/>
        <v>0</v>
      </c>
      <c r="AF199" s="188">
        <f t="shared" si="55"/>
        <v>4.0277777778101154E-2</v>
      </c>
      <c r="AG199" s="188">
        <f t="shared" si="56"/>
        <v>0</v>
      </c>
    </row>
    <row r="200" spans="2:33" ht="15" customHeight="1" x14ac:dyDescent="0.15">
      <c r="B200" s="174" t="s">
        <v>19</v>
      </c>
      <c r="C200" s="175" t="s">
        <v>15</v>
      </c>
      <c r="D200" s="176" t="str">
        <f t="shared" si="38"/>
        <v>C</v>
      </c>
      <c r="E200" s="177" t="d">
        <v>2021-10-08T14:15:00.000</v>
      </c>
      <c r="F200" s="178" t="s">
        <v>77</v>
      </c>
      <c r="G200" s="179">
        <v>1762.12</v>
      </c>
      <c r="H200" s="179">
        <v>1757.24</v>
      </c>
      <c r="I200" s="180">
        <f t="shared" si="39"/>
        <v>4.8799999999998818</v>
      </c>
      <c r="J200" s="179">
        <v>1785.53</v>
      </c>
      <c r="K200" s="177" t="d">
        <v>2021-10-08T16:38:00.00000030733644975</v>
      </c>
      <c r="L200" s="179">
        <v>1773.87</v>
      </c>
      <c r="M200" s="181">
        <f t="shared" si="40"/>
        <v>11.75</v>
      </c>
      <c r="N200" s="182">
        <f t="shared" si="41"/>
        <v>2.41</v>
      </c>
      <c r="O200" s="183">
        <f t="shared" si="42"/>
        <v>0</v>
      </c>
      <c r="P200" s="184">
        <f t="shared" si="43"/>
        <v>2.41</v>
      </c>
      <c r="Q200" s="184">
        <f t="shared" si="44"/>
        <v>0</v>
      </c>
      <c r="R20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48987.5</v>
      </c>
      <c r="T20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00" s="186">
        <f ca="1">IF(Tabla33610673[[#This Row],[Equity]]&lt;Tabla33610673[[#This Row],[Equity Peak]],(Tabla33610673[[#This Row],[Equity Peak]]-Tabla33610673[[#This Row],[Equity]])/Tabla33610673[[#This Row],[Equity Peak]],"")</f>
        <v>4.4845235193760664E-2</v>
      </c>
      <c r="V200" s="187">
        <f t="shared" si="45"/>
        <v>0</v>
      </c>
      <c r="W200" s="187">
        <f t="shared" si="46"/>
        <v>0</v>
      </c>
      <c r="X200" s="187">
        <f t="shared" si="47"/>
        <v>2.41</v>
      </c>
      <c r="Y200" s="187">
        <f t="shared" si="48"/>
        <v>0</v>
      </c>
      <c r="Z200" s="187">
        <f t="shared" si="49"/>
        <v>0</v>
      </c>
      <c r="AA200" s="183">
        <f t="shared" si="50"/>
        <v>0</v>
      </c>
      <c r="AB200" s="187">
        <f t="shared" si="51"/>
        <v>0</v>
      </c>
      <c r="AC200" s="183">
        <f t="shared" si="52"/>
        <v>0</v>
      </c>
      <c r="AD200" s="188">
        <f t="shared" si="53"/>
        <v>9.930555555911269E-2</v>
      </c>
      <c r="AE200" s="188">
        <f t="shared" si="54"/>
        <v>9.930555555911269E-2</v>
      </c>
      <c r="AF200" s="188">
        <f t="shared" si="55"/>
        <v>0</v>
      </c>
      <c r="AG200" s="188">
        <f t="shared" si="56"/>
        <v>0</v>
      </c>
    </row>
    <row r="201" spans="2:33" ht="15" customHeight="1" x14ac:dyDescent="0.15">
      <c r="B201" s="174" t="s">
        <v>7</v>
      </c>
      <c r="C201" s="175" t="s">
        <v>15</v>
      </c>
      <c r="D201" s="176" t="str">
        <f t="shared" si="38"/>
        <v>C</v>
      </c>
      <c r="E201" s="177" t="d">
        <v>2021-10-08T04:15:00.00000020954757600</v>
      </c>
      <c r="F201" s="178" t="s">
        <v>102</v>
      </c>
      <c r="G201" s="179">
        <v>152.24199999999999</v>
      </c>
      <c r="H201" s="179">
        <v>151.97200000000001</v>
      </c>
      <c r="I201" s="180">
        <f t="shared" si="39"/>
        <v>0.26999999999998181</v>
      </c>
      <c r="J201" s="179">
        <v>153.68</v>
      </c>
      <c r="K201" s="177" t="d">
        <v>2021-10-08T16:09:00.00000029336660775</v>
      </c>
      <c r="L201" s="179">
        <v>152.13499999999999</v>
      </c>
      <c r="M201" s="181">
        <f t="shared" si="40"/>
        <v>-0.107</v>
      </c>
      <c r="N201" s="182">
        <f t="shared" si="41"/>
        <v>-0.4</v>
      </c>
      <c r="O201" s="183">
        <f t="shared" si="42"/>
        <v>0</v>
      </c>
      <c r="P201" s="184">
        <f t="shared" si="43"/>
        <v>0</v>
      </c>
      <c r="Q201" s="184">
        <f t="shared" si="44"/>
        <v>-0.4</v>
      </c>
      <c r="R20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48385</v>
      </c>
      <c r="T20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01" s="186">
        <f ca="1">IF(Tabla33610673[[#This Row],[Equity]]&lt;Tabla33610673[[#This Row],[Equity Peak]],(Tabla33610673[[#This Row],[Equity Peak]]-Tabla33610673[[#This Row],[Equity]])/Tabla33610673[[#This Row],[Equity Peak]],"")</f>
        <v>5.6592737021691444E-2</v>
      </c>
      <c r="V201" s="187">
        <f t="shared" si="45"/>
        <v>-0.4</v>
      </c>
      <c r="W201" s="187">
        <f t="shared" si="46"/>
        <v>0</v>
      </c>
      <c r="X201" s="187">
        <f t="shared" si="47"/>
        <v>0</v>
      </c>
      <c r="Y201" s="187">
        <f t="shared" si="48"/>
        <v>0</v>
      </c>
      <c r="Z201" s="187">
        <f t="shared" si="49"/>
        <v>0</v>
      </c>
      <c r="AA201" s="183">
        <f t="shared" si="50"/>
        <v>0</v>
      </c>
      <c r="AB201" s="187">
        <f t="shared" si="51"/>
        <v>0</v>
      </c>
      <c r="AC201" s="183">
        <f t="shared" si="52"/>
        <v>0</v>
      </c>
      <c r="AD201" s="188">
        <f t="shared" si="53"/>
        <v>0.49583333333430346</v>
      </c>
      <c r="AE201" s="188">
        <f t="shared" si="54"/>
        <v>0</v>
      </c>
      <c r="AF201" s="188">
        <f t="shared" si="55"/>
        <v>0.49583333333430346</v>
      </c>
      <c r="AG201" s="188">
        <f t="shared" si="56"/>
        <v>0</v>
      </c>
    </row>
    <row r="202" spans="2:33" ht="15" customHeight="1" x14ac:dyDescent="0.15">
      <c r="B202" s="174" t="s">
        <v>5</v>
      </c>
      <c r="C202" s="175" t="s">
        <v>15</v>
      </c>
      <c r="D202" s="176" t="str">
        <f t="shared" si="38"/>
        <v>C</v>
      </c>
      <c r="E202" s="177" t="d">
        <v>2021-10-06T21:14:59.99999979045242400</v>
      </c>
      <c r="F202" s="178" t="s">
        <v>82</v>
      </c>
      <c r="G202" s="179">
        <v>4351.75</v>
      </c>
      <c r="H202" s="179">
        <v>4320.38</v>
      </c>
      <c r="I202" s="180">
        <f t="shared" si="39"/>
        <v>31.369999999999891</v>
      </c>
      <c r="J202" s="179">
        <v>4555.66</v>
      </c>
      <c r="K202" s="177" t="d">
        <v>2021-10-07T22:53:00.000000097788870375</v>
      </c>
      <c r="L202" s="179">
        <v>4397</v>
      </c>
      <c r="M202" s="181">
        <f t="shared" si="40"/>
        <v>45.25</v>
      </c>
      <c r="N202" s="182">
        <f t="shared" si="41"/>
        <v>1.44</v>
      </c>
      <c r="O202" s="183">
        <f t="shared" si="42"/>
        <v>0</v>
      </c>
      <c r="P202" s="184">
        <f t="shared" si="43"/>
        <v>1.44</v>
      </c>
      <c r="Q202" s="184">
        <f t="shared" si="44"/>
        <v>0</v>
      </c>
      <c r="R20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48485</v>
      </c>
      <c r="T20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02" s="186">
        <f ca="1">IF(Tabla33610673[[#This Row],[Equity]]&lt;Tabla33610673[[#This Row],[Equity Peak]],(Tabla33610673[[#This Row],[Equity Peak]]-Tabla33610673[[#This Row],[Equity]])/Tabla33610673[[#This Row],[Equity Peak]],"")</f>
        <v>5.4642944187180111E-2</v>
      </c>
      <c r="V202" s="187">
        <f t="shared" si="45"/>
        <v>0</v>
      </c>
      <c r="W202" s="187">
        <f t="shared" si="46"/>
        <v>0</v>
      </c>
      <c r="X202" s="187">
        <f t="shared" si="47"/>
        <v>0</v>
      </c>
      <c r="Y202" s="187">
        <f t="shared" si="48"/>
        <v>0</v>
      </c>
      <c r="Z202" s="187">
        <f t="shared" si="49"/>
        <v>1.44</v>
      </c>
      <c r="AA202" s="183">
        <f t="shared" si="50"/>
        <v>0</v>
      </c>
      <c r="AB202" s="187">
        <f t="shared" si="51"/>
        <v>0</v>
      </c>
      <c r="AC202" s="183">
        <f t="shared" si="52"/>
        <v>0</v>
      </c>
      <c r="AD202" s="188">
        <f t="shared" si="53"/>
        <v>1.0680555555591127</v>
      </c>
      <c r="AE202" s="188">
        <f t="shared" si="54"/>
        <v>1.0680555555591127</v>
      </c>
      <c r="AF202" s="188">
        <f t="shared" si="55"/>
        <v>0</v>
      </c>
      <c r="AG202" s="188">
        <f t="shared" si="56"/>
        <v>0</v>
      </c>
    </row>
    <row r="203" spans="2:33" ht="15" customHeight="1" x14ac:dyDescent="0.15">
      <c r="B203" s="174" t="s">
        <v>5</v>
      </c>
      <c r="C203" s="175" t="s">
        <v>15</v>
      </c>
      <c r="D203" s="176" t="str">
        <f t="shared" si="38"/>
        <v>C</v>
      </c>
      <c r="E203" s="177" t="d">
        <v>2021-10-07T18:59:59.99999979045242400</v>
      </c>
      <c r="F203" s="178" t="s">
        <v>81</v>
      </c>
      <c r="G203" s="179">
        <v>15005.41</v>
      </c>
      <c r="H203" s="179">
        <v>14927.26</v>
      </c>
      <c r="I203" s="180">
        <f t="shared" si="39"/>
        <v>78.149999999999636</v>
      </c>
      <c r="J203" s="179">
        <v>15474.31</v>
      </c>
      <c r="K203" s="177" t="d">
        <v>2021-10-07T21:42:00.0000000419095125</v>
      </c>
      <c r="L203" s="179">
        <v>14927.26</v>
      </c>
      <c r="M203" s="181">
        <f t="shared" si="40"/>
        <v>-78.150000000000006</v>
      </c>
      <c r="N203" s="182">
        <f t="shared" si="41"/>
        <v>-1</v>
      </c>
      <c r="O203" s="183">
        <f t="shared" si="42"/>
        <v>0</v>
      </c>
      <c r="P203" s="184">
        <f t="shared" si="43"/>
        <v>0</v>
      </c>
      <c r="Q203" s="184">
        <f t="shared" si="44"/>
        <v>-1</v>
      </c>
      <c r="R20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48125</v>
      </c>
      <c r="T20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03" s="186">
        <f ca="1">IF(Tabla33610673[[#This Row],[Equity]]&lt;Tabla33610673[[#This Row],[Equity Peak]],(Tabla33610673[[#This Row],[Equity Peak]]-Tabla33610673[[#This Row],[Equity]])/Tabla33610673[[#This Row],[Equity Peak]],"")</f>
        <v>6.1662198391420911E-2</v>
      </c>
      <c r="V203" s="187">
        <f t="shared" si="45"/>
        <v>0</v>
      </c>
      <c r="W203" s="187">
        <f t="shared" si="46"/>
        <v>0</v>
      </c>
      <c r="X203" s="187">
        <f t="shared" si="47"/>
        <v>0</v>
      </c>
      <c r="Y203" s="187">
        <f t="shared" si="48"/>
        <v>0</v>
      </c>
      <c r="Z203" s="187">
        <f t="shared" si="49"/>
        <v>-1</v>
      </c>
      <c r="AA203" s="183">
        <f t="shared" si="50"/>
        <v>0</v>
      </c>
      <c r="AB203" s="187">
        <f t="shared" si="51"/>
        <v>0</v>
      </c>
      <c r="AC203" s="183">
        <f t="shared" si="52"/>
        <v>0</v>
      </c>
      <c r="AD203" s="188">
        <f t="shared" si="53"/>
        <v>0.11250000000291038</v>
      </c>
      <c r="AE203" s="188">
        <f t="shared" si="54"/>
        <v>0</v>
      </c>
      <c r="AF203" s="188">
        <f t="shared" si="55"/>
        <v>0.11250000000291038</v>
      </c>
      <c r="AG203" s="188">
        <f t="shared" si="56"/>
        <v>0</v>
      </c>
    </row>
    <row r="204" spans="2:33" ht="15" customHeight="1" x14ac:dyDescent="0.15">
      <c r="B204" s="174" t="s">
        <v>19</v>
      </c>
      <c r="C204" s="175" t="s">
        <v>13</v>
      </c>
      <c r="D204" s="176" t="str">
        <f t="shared" si="38"/>
        <v>C</v>
      </c>
      <c r="E204" s="177" t="d">
        <v>2021-10-07T15:45:00.000</v>
      </c>
      <c r="F204" s="178" t="s">
        <v>77</v>
      </c>
      <c r="G204" s="179">
        <v>1755.02</v>
      </c>
      <c r="H204" s="179">
        <v>1760.21</v>
      </c>
      <c r="I204" s="180">
        <f t="shared" si="39"/>
        <v>5.1900000000000546</v>
      </c>
      <c r="J204" s="179">
        <v>1730.12</v>
      </c>
      <c r="K204" s="177" t="d">
        <v>2021-10-07T17:00:00.00000020954757600</v>
      </c>
      <c r="L204" s="179">
        <v>1760.21</v>
      </c>
      <c r="M204" s="181">
        <f t="shared" si="40"/>
        <v>-5.19</v>
      </c>
      <c r="N204" s="182">
        <f t="shared" si="41"/>
        <v>-1</v>
      </c>
      <c r="O204" s="183">
        <f t="shared" si="42"/>
        <v>0</v>
      </c>
      <c r="P204" s="184">
        <f t="shared" si="43"/>
        <v>0</v>
      </c>
      <c r="Q204" s="184">
        <f t="shared" si="44"/>
        <v>-1</v>
      </c>
      <c r="R20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48375</v>
      </c>
      <c r="T20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04" s="186">
        <f ca="1">IF(Tabla33610673[[#This Row],[Equity]]&lt;Tabla33610673[[#This Row],[Equity Peak]],(Tabla33610673[[#This Row],[Equity Peak]]-Tabla33610673[[#This Row],[Equity]])/Tabla33610673[[#This Row],[Equity Peak]],"")</f>
        <v>5.678771630514258E-2</v>
      </c>
      <c r="V204" s="187">
        <f t="shared" si="45"/>
        <v>0</v>
      </c>
      <c r="W204" s="187">
        <f t="shared" si="46"/>
        <v>0</v>
      </c>
      <c r="X204" s="187">
        <f t="shared" si="47"/>
        <v>-1</v>
      </c>
      <c r="Y204" s="187">
        <f t="shared" si="48"/>
        <v>0</v>
      </c>
      <c r="Z204" s="187">
        <f t="shared" si="49"/>
        <v>0</v>
      </c>
      <c r="AA204" s="183">
        <f t="shared" si="50"/>
        <v>0</v>
      </c>
      <c r="AB204" s="187">
        <f t="shared" si="51"/>
        <v>0</v>
      </c>
      <c r="AC204" s="183">
        <f t="shared" si="52"/>
        <v>0</v>
      </c>
      <c r="AD204" s="188">
        <f t="shared" si="53"/>
        <v>5.2083333335758653E-2</v>
      </c>
      <c r="AE204" s="188">
        <f t="shared" si="54"/>
        <v>0</v>
      </c>
      <c r="AF204" s="188">
        <f t="shared" si="55"/>
        <v>5.2083333335758653E-2</v>
      </c>
      <c r="AG204" s="188">
        <f t="shared" si="56"/>
        <v>0</v>
      </c>
    </row>
    <row r="205" spans="2:33" ht="15" customHeight="1" x14ac:dyDescent="0.15">
      <c r="B205" s="174" t="s">
        <v>19</v>
      </c>
      <c r="C205" s="175" t="s">
        <v>15</v>
      </c>
      <c r="D205" s="176" t="str">
        <f t="shared" si="38"/>
        <v>C</v>
      </c>
      <c r="E205" s="177" t="d">
        <v>2021-10-07T10:30:00.000</v>
      </c>
      <c r="F205" s="178" t="s">
        <v>77</v>
      </c>
      <c r="G205" s="179">
        <v>1765.83</v>
      </c>
      <c r="H205" s="179">
        <v>1760.72</v>
      </c>
      <c r="I205" s="180">
        <f t="shared" si="39"/>
        <v>5.1099999999999</v>
      </c>
      <c r="J205" s="179">
        <v>1790.35</v>
      </c>
      <c r="K205" s="177" t="d">
        <v>2021-10-07T11:48:00.00000016763806350</v>
      </c>
      <c r="L205" s="179">
        <v>1760.72</v>
      </c>
      <c r="M205" s="181">
        <f t="shared" si="40"/>
        <v>-5.1100000000000003</v>
      </c>
      <c r="N205" s="182">
        <f t="shared" si="41"/>
        <v>-1</v>
      </c>
      <c r="O205" s="183">
        <f t="shared" si="42"/>
        <v>0</v>
      </c>
      <c r="P205" s="184">
        <f t="shared" si="43"/>
        <v>0</v>
      </c>
      <c r="Q205" s="184">
        <f t="shared" si="44"/>
        <v>-1</v>
      </c>
      <c r="R20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48625</v>
      </c>
      <c r="T20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05" s="186">
        <f ca="1">IF(Tabla33610673[[#This Row],[Equity]]&lt;Tabla33610673[[#This Row],[Equity Peak]],(Tabla33610673[[#This Row],[Equity Peak]]-Tabla33610673[[#This Row],[Equity]])/Tabla33610673[[#This Row],[Equity Peak]],"")</f>
        <v>5.1913234218864249E-2</v>
      </c>
      <c r="V205" s="187">
        <f t="shared" si="45"/>
        <v>0</v>
      </c>
      <c r="W205" s="187">
        <f t="shared" si="46"/>
        <v>0</v>
      </c>
      <c r="X205" s="187">
        <f t="shared" si="47"/>
        <v>-1</v>
      </c>
      <c r="Y205" s="187">
        <f t="shared" si="48"/>
        <v>0</v>
      </c>
      <c r="Z205" s="187">
        <f t="shared" si="49"/>
        <v>0</v>
      </c>
      <c r="AA205" s="183">
        <f t="shared" si="50"/>
        <v>0</v>
      </c>
      <c r="AB205" s="187">
        <f t="shared" si="51"/>
        <v>0</v>
      </c>
      <c r="AC205" s="183">
        <f t="shared" si="52"/>
        <v>0</v>
      </c>
      <c r="AD205" s="188">
        <f t="shared" si="53"/>
        <v>5.4166666668606922E-2</v>
      </c>
      <c r="AE205" s="188">
        <f t="shared" si="54"/>
        <v>0</v>
      </c>
      <c r="AF205" s="188">
        <f t="shared" si="55"/>
        <v>5.4166666668606922E-2</v>
      </c>
      <c r="AG205" s="188">
        <f t="shared" si="56"/>
        <v>0</v>
      </c>
    </row>
    <row r="206" spans="2:33" ht="15" customHeight="1" x14ac:dyDescent="0.15">
      <c r="B206" s="174" t="s">
        <v>19</v>
      </c>
      <c r="C206" s="175" t="s">
        <v>15</v>
      </c>
      <c r="D206" s="176" t="str">
        <f t="shared" si="38"/>
        <v>C</v>
      </c>
      <c r="E206" s="177" t="d">
        <v>2021-10-06T22:15:00.00000020954757600</v>
      </c>
      <c r="F206" s="178" t="s">
        <v>77</v>
      </c>
      <c r="G206" s="179">
        <v>1764.79</v>
      </c>
      <c r="H206" s="179">
        <v>1759.46</v>
      </c>
      <c r="I206" s="180">
        <f t="shared" si="39"/>
        <v>5.3299999999999272</v>
      </c>
      <c r="J206" s="179">
        <v>1790.36</v>
      </c>
      <c r="K206" s="177" t="d">
        <v>2021-10-07T05:19:59.9999997206032275</v>
      </c>
      <c r="L206" s="179">
        <v>1759.46</v>
      </c>
      <c r="M206" s="181">
        <f t="shared" si="40"/>
        <v>-5.33</v>
      </c>
      <c r="N206" s="182">
        <f t="shared" si="41"/>
        <v>-1</v>
      </c>
      <c r="O206" s="183">
        <f t="shared" si="42"/>
        <v>0</v>
      </c>
      <c r="P206" s="184">
        <f t="shared" si="43"/>
        <v>0</v>
      </c>
      <c r="Q206" s="184">
        <f t="shared" si="44"/>
        <v>-1</v>
      </c>
      <c r="R20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48875</v>
      </c>
      <c r="T20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06" s="186">
        <f ca="1">IF(Tabla33610673[[#This Row],[Equity]]&lt;Tabla33610673[[#This Row],[Equity Peak]],(Tabla33610673[[#This Row],[Equity Peak]]-Tabla33610673[[#This Row],[Equity]])/Tabla33610673[[#This Row],[Equity Peak]],"")</f>
        <v>4.7038752132585911E-2</v>
      </c>
      <c r="V206" s="187">
        <f t="shared" si="45"/>
        <v>0</v>
      </c>
      <c r="W206" s="187">
        <f t="shared" si="46"/>
        <v>0</v>
      </c>
      <c r="X206" s="187">
        <f t="shared" si="47"/>
        <v>-1</v>
      </c>
      <c r="Y206" s="187">
        <f t="shared" si="48"/>
        <v>0</v>
      </c>
      <c r="Z206" s="187">
        <f t="shared" si="49"/>
        <v>0</v>
      </c>
      <c r="AA206" s="183">
        <f t="shared" si="50"/>
        <v>0</v>
      </c>
      <c r="AB206" s="187">
        <f t="shared" si="51"/>
        <v>0</v>
      </c>
      <c r="AC206" s="183">
        <f t="shared" si="52"/>
        <v>0</v>
      </c>
      <c r="AD206" s="188">
        <f t="shared" si="53"/>
        <v>0.29513888888322981</v>
      </c>
      <c r="AE206" s="188">
        <f t="shared" si="54"/>
        <v>0</v>
      </c>
      <c r="AF206" s="188">
        <f t="shared" si="55"/>
        <v>0.29513888888322981</v>
      </c>
      <c r="AG206" s="188">
        <f t="shared" si="56"/>
        <v>0</v>
      </c>
    </row>
    <row r="207" spans="2:33" ht="15" customHeight="1" x14ac:dyDescent="0.15">
      <c r="B207" s="174" t="s">
        <v>5</v>
      </c>
      <c r="C207" s="175" t="s">
        <v>13</v>
      </c>
      <c r="D207" s="176" t="str">
        <f t="shared" si="38"/>
        <v>C</v>
      </c>
      <c r="E207" s="177" t="d">
        <v>2021-10-06T10:15:00.00000020954757600</v>
      </c>
      <c r="F207" s="178" t="s">
        <v>82</v>
      </c>
      <c r="G207" s="179">
        <v>4309.07</v>
      </c>
      <c r="H207" s="179">
        <v>4338.0600000000004</v>
      </c>
      <c r="I207" s="180">
        <f t="shared" si="39"/>
        <v>28.990000000000691</v>
      </c>
      <c r="J207" s="179">
        <v>4120.6499999999996</v>
      </c>
      <c r="K207" s="177" t="d">
        <v>2021-10-06T16:31:59.99999976251274675</v>
      </c>
      <c r="L207" s="179">
        <v>4311.9399999999996</v>
      </c>
      <c r="M207" s="181">
        <f t="shared" si="40"/>
        <v>-2.87</v>
      </c>
      <c r="N207" s="182">
        <f t="shared" si="41"/>
        <v>-0.1</v>
      </c>
      <c r="O207" s="183">
        <f t="shared" si="42"/>
        <v>0</v>
      </c>
      <c r="P207" s="184">
        <f t="shared" si="43"/>
        <v>0</v>
      </c>
      <c r="Q207" s="184">
        <f t="shared" si="44"/>
        <v>-0.1</v>
      </c>
      <c r="R20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49125</v>
      </c>
      <c r="T20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07" s="186">
        <f ca="1">IF(Tabla33610673[[#This Row],[Equity]]&lt;Tabla33610673[[#This Row],[Equity Peak]],(Tabla33610673[[#This Row],[Equity Peak]]-Tabla33610673[[#This Row],[Equity]])/Tabla33610673[[#This Row],[Equity Peak]],"")</f>
        <v>4.216427004630758E-2</v>
      </c>
      <c r="V207" s="187">
        <f t="shared" si="45"/>
        <v>0</v>
      </c>
      <c r="W207" s="187">
        <f t="shared" si="46"/>
        <v>0</v>
      </c>
      <c r="X207" s="187">
        <f t="shared" si="47"/>
        <v>0</v>
      </c>
      <c r="Y207" s="187">
        <f t="shared" si="48"/>
        <v>0</v>
      </c>
      <c r="Z207" s="187">
        <f t="shared" si="49"/>
        <v>-0.1</v>
      </c>
      <c r="AA207" s="183">
        <f t="shared" si="50"/>
        <v>0</v>
      </c>
      <c r="AB207" s="187">
        <f t="shared" si="51"/>
        <v>0</v>
      </c>
      <c r="AC207" s="183">
        <f t="shared" si="52"/>
        <v>0</v>
      </c>
      <c r="AD207" s="188">
        <f t="shared" si="53"/>
        <v>0.26180555555038154</v>
      </c>
      <c r="AE207" s="188">
        <f t="shared" si="54"/>
        <v>0</v>
      </c>
      <c r="AF207" s="188">
        <f t="shared" si="55"/>
        <v>0.26180555555038154</v>
      </c>
      <c r="AG207" s="188">
        <f t="shared" si="56"/>
        <v>0</v>
      </c>
    </row>
    <row r="208" spans="2:33" ht="15" customHeight="1" x14ac:dyDescent="0.15">
      <c r="B208" s="174" t="s">
        <v>5</v>
      </c>
      <c r="C208" s="175" t="s">
        <v>13</v>
      </c>
      <c r="D208" s="176" t="str">
        <f t="shared" si="38"/>
        <v>C</v>
      </c>
      <c r="E208" s="177" t="d">
        <v>2021-10-06T10:30:00.000</v>
      </c>
      <c r="F208" s="178" t="s">
        <v>80</v>
      </c>
      <c r="G208" s="179">
        <v>14979.28</v>
      </c>
      <c r="H208" s="179">
        <v>15059.19</v>
      </c>
      <c r="I208" s="180">
        <f t="shared" si="39"/>
        <v>79.909999999999854</v>
      </c>
      <c r="J208" s="179">
        <v>14393.24</v>
      </c>
      <c r="K208" s="177" t="d">
        <v>2021-10-06T15:27:59.99999981839210125</v>
      </c>
      <c r="L208" s="179">
        <v>14962.72</v>
      </c>
      <c r="M208" s="181">
        <f t="shared" si="40"/>
        <v>16.559999999999999</v>
      </c>
      <c r="N208" s="182">
        <f t="shared" si="41"/>
        <v>0.21</v>
      </c>
      <c r="O208" s="183">
        <f t="shared" si="42"/>
        <v>0</v>
      </c>
      <c r="P208" s="184">
        <f t="shared" si="43"/>
        <v>0.21</v>
      </c>
      <c r="Q208" s="184">
        <f t="shared" si="44"/>
        <v>0</v>
      </c>
      <c r="R20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49150</v>
      </c>
      <c r="T20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08" s="186">
        <f ca="1">IF(Tabla33610673[[#This Row],[Equity]]&lt;Tabla33610673[[#This Row],[Equity Peak]],(Tabla33610673[[#This Row],[Equity Peak]]-Tabla33610673[[#This Row],[Equity]])/Tabla33610673[[#This Row],[Equity Peak]],"")</f>
        <v>4.1676821837679748E-2</v>
      </c>
      <c r="V208" s="187">
        <f t="shared" si="45"/>
        <v>0</v>
      </c>
      <c r="W208" s="187">
        <f t="shared" si="46"/>
        <v>0</v>
      </c>
      <c r="X208" s="187">
        <f t="shared" si="47"/>
        <v>0</v>
      </c>
      <c r="Y208" s="187">
        <f t="shared" si="48"/>
        <v>0</v>
      </c>
      <c r="Z208" s="187">
        <f t="shared" si="49"/>
        <v>0.21</v>
      </c>
      <c r="AA208" s="183">
        <f t="shared" si="50"/>
        <v>0</v>
      </c>
      <c r="AB208" s="187">
        <f t="shared" si="51"/>
        <v>0</v>
      </c>
      <c r="AC208" s="183">
        <f t="shared" si="52"/>
        <v>0</v>
      </c>
      <c r="AD208" s="188">
        <f t="shared" si="53"/>
        <v>0.2069444444423425</v>
      </c>
      <c r="AE208" s="188">
        <f t="shared" si="54"/>
        <v>0.2069444444423425</v>
      </c>
      <c r="AF208" s="188">
        <f t="shared" si="55"/>
        <v>0</v>
      </c>
      <c r="AG208" s="188">
        <f t="shared" si="56"/>
        <v>0</v>
      </c>
    </row>
    <row r="209" spans="2:33" ht="15" customHeight="1" x14ac:dyDescent="0.15">
      <c r="B209" s="174" t="s">
        <v>7</v>
      </c>
      <c r="C209" s="175" t="s">
        <v>15</v>
      </c>
      <c r="D209" s="176" t="str">
        <f t="shared" ref="D209:D272" si="57">IF(E209&lt;&gt;"",IF(K209&lt;&gt;"","C","O"),"")</f>
        <v>C</v>
      </c>
      <c r="E209" s="177" t="d">
        <v>2021-10-05T14:15:00.000</v>
      </c>
      <c r="F209" s="178" t="s">
        <v>102</v>
      </c>
      <c r="G209" s="179">
        <v>151.64699999999999</v>
      </c>
      <c r="H209" s="179">
        <v>151.273</v>
      </c>
      <c r="I209" s="180">
        <f t="shared" ref="I209:I272" si="58">ABS(G209-H209)</f>
        <v>0.37399999999999523</v>
      </c>
      <c r="J209" s="179">
        <v>153.64400000000001</v>
      </c>
      <c r="K209" s="177" t="d">
        <v>2021-10-06T10:21:00.00000012572854425</v>
      </c>
      <c r="L209" s="179">
        <v>151.708</v>
      </c>
      <c r="M209" s="181">
        <f t="shared" ref="M209:M272" si="59">ROUND(IF(C209="L",(L209-G209),(G209-L209)),4)</f>
        <v>6.0999999999999999E-2</v>
      </c>
      <c r="N209" s="182">
        <f t="shared" ref="N209:N272" si="60">IFERROR(ROUND((M209/I209),2),"")</f>
        <v>0.16</v>
      </c>
      <c r="O209" s="183">
        <f t="shared" ref="O209:O272" si="61">IF(D209="O",IF(N209&lt;0,N209,0),0)</f>
        <v>0</v>
      </c>
      <c r="P209" s="184">
        <f t="shared" ref="P209:P272" si="62">IF(N209&gt;= 0,N209,0)</f>
        <v>0.16</v>
      </c>
      <c r="Q209" s="184">
        <f t="shared" ref="Q209:Q272" si="63">IF(N209&lt;0,N209,0)</f>
        <v>0</v>
      </c>
      <c r="R20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49097.5</v>
      </c>
      <c r="T20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09" s="186">
        <f ca="1">IF(Tabla33610673[[#This Row],[Equity]]&lt;Tabla33610673[[#This Row],[Equity Peak]],(Tabla33610673[[#This Row],[Equity Peak]]-Tabla33610673[[#This Row],[Equity]])/Tabla33610673[[#This Row],[Equity Peak]],"")</f>
        <v>4.2700463075798195E-2</v>
      </c>
      <c r="V209" s="187">
        <f t="shared" ref="V209:V272" si="64">IF(B209="FX",N209,0)</f>
        <v>0.16</v>
      </c>
      <c r="W209" s="187">
        <f t="shared" ref="W209:W272" si="65">IF(D209="O",IF(V209&lt;0,V209,0),0)</f>
        <v>0</v>
      </c>
      <c r="X209" s="187">
        <f t="shared" ref="X209:X272" si="66">IF(B209="COM",N209,0)</f>
        <v>0</v>
      </c>
      <c r="Y209" s="187">
        <f t="shared" ref="Y209:Y272" si="67">IF(D209="O",IF(X209&lt;0,X209,0),0)</f>
        <v>0</v>
      </c>
      <c r="Z209" s="187">
        <f t="shared" ref="Z209:Z272" si="68">IF(B209="IND",N209,0)</f>
        <v>0</v>
      </c>
      <c r="AA209" s="183">
        <f t="shared" ref="AA209:AA272" si="69">IF(D209="O",IF(Z209&lt;0,Z209,0),0)</f>
        <v>0</v>
      </c>
      <c r="AB209" s="187">
        <f t="shared" ref="AB209:AB272" si="70">IF(B209="CRYPTO",N209,0)</f>
        <v>0</v>
      </c>
      <c r="AC209" s="183">
        <f t="shared" ref="AC209:AC272" si="71">IF(D209="O",IF(AB209&lt;0,AB209,0),0)</f>
        <v>0</v>
      </c>
      <c r="AD209" s="188">
        <f t="shared" ref="AD209:AD272" si="72">IF(K209&lt;&gt;"",K209-E209,0)</f>
        <v>0.83750000000145519</v>
      </c>
      <c r="AE209" s="188">
        <f t="shared" ref="AE209:AE272" si="73">IF(N209&gt;0,AD209,0)</f>
        <v>0.83750000000145519</v>
      </c>
      <c r="AF209" s="188">
        <f t="shared" ref="AF209:AF272" si="74">IF(N209&lt;0,AD209,0)</f>
        <v>0</v>
      </c>
      <c r="AG209" s="188">
        <f t="shared" ref="AG209:AG272" si="75">IF(N209=0,AD209,0)</f>
        <v>0</v>
      </c>
    </row>
    <row r="210" spans="2:33" ht="15" customHeight="1" x14ac:dyDescent="0.15">
      <c r="B210" s="174" t="s">
        <v>19</v>
      </c>
      <c r="C210" s="175" t="s">
        <v>15</v>
      </c>
      <c r="D210" s="176" t="str">
        <f t="shared" si="57"/>
        <v>C</v>
      </c>
      <c r="E210" s="177" t="d">
        <v>2021-10-05T20:45:00.00000020954757600</v>
      </c>
      <c r="F210" s="178" t="s">
        <v>77</v>
      </c>
      <c r="G210" s="179">
        <v>1762.06</v>
      </c>
      <c r="H210" s="179">
        <v>1756.6</v>
      </c>
      <c r="I210" s="180">
        <f t="shared" si="58"/>
        <v>5.4600000000000364</v>
      </c>
      <c r="J210" s="179">
        <v>1788.28</v>
      </c>
      <c r="K210" s="177" t="d">
        <v>2021-10-06T04:21:59.99999969266355025</v>
      </c>
      <c r="L210" s="179">
        <v>1756.6</v>
      </c>
      <c r="M210" s="181">
        <f t="shared" si="59"/>
        <v>-5.46</v>
      </c>
      <c r="N210" s="182">
        <f t="shared" si="60"/>
        <v>-1</v>
      </c>
      <c r="O210" s="183">
        <f t="shared" si="61"/>
        <v>0</v>
      </c>
      <c r="P210" s="184">
        <f t="shared" si="62"/>
        <v>0</v>
      </c>
      <c r="Q210" s="184">
        <f t="shared" si="63"/>
        <v>-1</v>
      </c>
      <c r="R21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49057.5</v>
      </c>
      <c r="T21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10" s="186">
        <f ca="1">IF(Tabla33610673[[#This Row],[Equity]]&lt;Tabla33610673[[#This Row],[Equity Peak]],(Tabla33610673[[#This Row],[Equity Peak]]-Tabla33610673[[#This Row],[Equity]])/Tabla33610673[[#This Row],[Equity Peak]],"")</f>
        <v>4.348038020960273E-2</v>
      </c>
      <c r="V210" s="187">
        <f t="shared" si="64"/>
        <v>0</v>
      </c>
      <c r="W210" s="187">
        <f t="shared" si="65"/>
        <v>0</v>
      </c>
      <c r="X210" s="187">
        <f t="shared" si="66"/>
        <v>-1</v>
      </c>
      <c r="Y210" s="187">
        <f t="shared" si="67"/>
        <v>0</v>
      </c>
      <c r="Z210" s="187">
        <f t="shared" si="68"/>
        <v>0</v>
      </c>
      <c r="AA210" s="183">
        <f t="shared" si="69"/>
        <v>0</v>
      </c>
      <c r="AB210" s="187">
        <f t="shared" si="70"/>
        <v>0</v>
      </c>
      <c r="AC210" s="183">
        <f t="shared" si="71"/>
        <v>0</v>
      </c>
      <c r="AD210" s="188">
        <f t="shared" si="72"/>
        <v>0.31736111110512866</v>
      </c>
      <c r="AE210" s="188">
        <f t="shared" si="73"/>
        <v>0</v>
      </c>
      <c r="AF210" s="188">
        <f t="shared" si="74"/>
        <v>0.31736111110512866</v>
      </c>
      <c r="AG210" s="188">
        <f t="shared" si="75"/>
        <v>0</v>
      </c>
    </row>
    <row r="211" spans="2:33" ht="15" customHeight="1" x14ac:dyDescent="0.15">
      <c r="B211" s="174" t="s">
        <v>5</v>
      </c>
      <c r="C211" s="175" t="s">
        <v>15</v>
      </c>
      <c r="D211" s="176" t="str">
        <f t="shared" si="57"/>
        <v>C</v>
      </c>
      <c r="E211" s="177" t="d">
        <v>2021-10-05T18:00:00.000</v>
      </c>
      <c r="F211" s="178" t="s">
        <v>82</v>
      </c>
      <c r="G211" s="179">
        <v>4358.51</v>
      </c>
      <c r="H211" s="179">
        <v>4329.16</v>
      </c>
      <c r="I211" s="180">
        <f t="shared" si="58"/>
        <v>29.350000000000364</v>
      </c>
      <c r="J211" s="179">
        <v>4549.3100000000004</v>
      </c>
      <c r="K211" s="177" t="d">
        <v>2021-10-06T02:48:00.00000016763806350</v>
      </c>
      <c r="L211" s="179">
        <v>4336.2700000000004</v>
      </c>
      <c r="M211" s="181">
        <f t="shared" si="59"/>
        <v>-22.24</v>
      </c>
      <c r="N211" s="182">
        <f t="shared" si="60"/>
        <v>-0.76</v>
      </c>
      <c r="O211" s="183">
        <f t="shared" si="61"/>
        <v>0</v>
      </c>
      <c r="P211" s="184">
        <f t="shared" si="62"/>
        <v>0</v>
      </c>
      <c r="Q211" s="184">
        <f t="shared" si="63"/>
        <v>-0.76</v>
      </c>
      <c r="R21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49307.5</v>
      </c>
      <c r="T21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11" s="186">
        <f ca="1">IF(Tabla33610673[[#This Row],[Equity]]&lt;Tabla33610673[[#This Row],[Equity Peak]],(Tabla33610673[[#This Row],[Equity Peak]]-Tabla33610673[[#This Row],[Equity]])/Tabla33610673[[#This Row],[Equity Peak]],"")</f>
        <v>3.8605898123324399E-2</v>
      </c>
      <c r="V211" s="187">
        <f t="shared" si="64"/>
        <v>0</v>
      </c>
      <c r="W211" s="187">
        <f t="shared" si="65"/>
        <v>0</v>
      </c>
      <c r="X211" s="187">
        <f t="shared" si="66"/>
        <v>0</v>
      </c>
      <c r="Y211" s="187">
        <f t="shared" si="67"/>
        <v>0</v>
      </c>
      <c r="Z211" s="187">
        <f t="shared" si="68"/>
        <v>-0.76</v>
      </c>
      <c r="AA211" s="183">
        <f t="shared" si="69"/>
        <v>0</v>
      </c>
      <c r="AB211" s="187">
        <f t="shared" si="70"/>
        <v>0</v>
      </c>
      <c r="AC211" s="183">
        <f t="shared" si="71"/>
        <v>0</v>
      </c>
      <c r="AD211" s="188">
        <f t="shared" si="72"/>
        <v>0.36666666666860692</v>
      </c>
      <c r="AE211" s="188">
        <f t="shared" si="73"/>
        <v>0</v>
      </c>
      <c r="AF211" s="188">
        <f t="shared" si="74"/>
        <v>0.36666666666860692</v>
      </c>
      <c r="AG211" s="188">
        <f t="shared" si="75"/>
        <v>0</v>
      </c>
    </row>
    <row r="212" spans="2:33" ht="15" customHeight="1" x14ac:dyDescent="0.15">
      <c r="B212" s="174" t="s">
        <v>5</v>
      </c>
      <c r="C212" s="175" t="s">
        <v>13</v>
      </c>
      <c r="D212" s="176" t="str">
        <f t="shared" si="57"/>
        <v>C</v>
      </c>
      <c r="E212" s="177" t="d">
        <v>2021-10-04T17:29:59.99999979045242400</v>
      </c>
      <c r="F212" s="178" t="s">
        <v>82</v>
      </c>
      <c r="G212" s="179">
        <v>4312.3900000000003</v>
      </c>
      <c r="H212" s="179">
        <v>4341.59</v>
      </c>
      <c r="I212" s="180">
        <f t="shared" si="58"/>
        <v>29.199999999999818</v>
      </c>
      <c r="J212" s="179">
        <v>4122.6099999999997</v>
      </c>
      <c r="K212" s="177" t="d">
        <v>2021-10-05T11:36:59.99999990221113300</v>
      </c>
      <c r="L212" s="179">
        <v>4310.92</v>
      </c>
      <c r="M212" s="181">
        <f t="shared" si="59"/>
        <v>1.47</v>
      </c>
      <c r="N212" s="182">
        <f t="shared" si="60"/>
        <v>0.05</v>
      </c>
      <c r="O212" s="183">
        <f t="shared" si="61"/>
        <v>0</v>
      </c>
      <c r="P212" s="184">
        <f t="shared" si="62"/>
        <v>0.05</v>
      </c>
      <c r="Q212" s="184">
        <f t="shared" si="63"/>
        <v>0</v>
      </c>
      <c r="R21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49497.5</v>
      </c>
      <c r="T21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12" s="186">
        <f ca="1">IF(Tabla33610673[[#This Row],[Equity]]&lt;Tabla33610673[[#This Row],[Equity Peak]],(Tabla33610673[[#This Row],[Equity Peak]]-Tabla33610673[[#This Row],[Equity]])/Tabla33610673[[#This Row],[Equity Peak]],"")</f>
        <v>3.4901291737752867E-2</v>
      </c>
      <c r="V212" s="187">
        <f t="shared" si="64"/>
        <v>0</v>
      </c>
      <c r="W212" s="187">
        <f t="shared" si="65"/>
        <v>0</v>
      </c>
      <c r="X212" s="187">
        <f t="shared" si="66"/>
        <v>0</v>
      </c>
      <c r="Y212" s="187">
        <f t="shared" si="67"/>
        <v>0</v>
      </c>
      <c r="Z212" s="187">
        <f t="shared" si="68"/>
        <v>0.05</v>
      </c>
      <c r="AA212" s="183">
        <f t="shared" si="69"/>
        <v>0</v>
      </c>
      <c r="AB212" s="187">
        <f t="shared" si="70"/>
        <v>0</v>
      </c>
      <c r="AC212" s="183">
        <f t="shared" si="71"/>
        <v>0</v>
      </c>
      <c r="AD212" s="188">
        <f t="shared" si="72"/>
        <v>0.75486111111240461</v>
      </c>
      <c r="AE212" s="188">
        <f t="shared" si="73"/>
        <v>0.75486111111240461</v>
      </c>
      <c r="AF212" s="188">
        <f t="shared" si="74"/>
        <v>0</v>
      </c>
      <c r="AG212" s="188">
        <f t="shared" si="75"/>
        <v>0</v>
      </c>
    </row>
    <row r="213" spans="2:33" ht="15" customHeight="1" x14ac:dyDescent="0.15">
      <c r="B213" s="174" t="s">
        <v>5</v>
      </c>
      <c r="C213" s="175" t="s">
        <v>13</v>
      </c>
      <c r="D213" s="176" t="str">
        <f t="shared" si="57"/>
        <v>C</v>
      </c>
      <c r="E213" s="177" t="d">
        <v>2021-10-04T17:29:59.99999979045242400</v>
      </c>
      <c r="F213" s="178" t="s">
        <v>81</v>
      </c>
      <c r="G213" s="179">
        <v>14516.3</v>
      </c>
      <c r="H213" s="179">
        <v>14610.77</v>
      </c>
      <c r="I213" s="180">
        <f t="shared" si="58"/>
        <v>94.470000000001164</v>
      </c>
      <c r="J213" s="179">
        <v>13949.48</v>
      </c>
      <c r="K213" s="177" t="d">
        <v>2021-10-05T10:12:00.00000025145709525</v>
      </c>
      <c r="L213" s="179">
        <v>14530.1</v>
      </c>
      <c r="M213" s="181">
        <f t="shared" si="59"/>
        <v>-13.8</v>
      </c>
      <c r="N213" s="182">
        <f t="shared" si="60"/>
        <v>-0.15</v>
      </c>
      <c r="O213" s="183">
        <f t="shared" si="61"/>
        <v>0</v>
      </c>
      <c r="P213" s="184">
        <f t="shared" si="62"/>
        <v>0</v>
      </c>
      <c r="Q213" s="184">
        <f t="shared" si="63"/>
        <v>-0.15</v>
      </c>
      <c r="R21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49485</v>
      </c>
      <c r="T21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13" s="186">
        <f ca="1">IF(Tabla33610673[[#This Row],[Equity]]&lt;Tabla33610673[[#This Row],[Equity Peak]],(Tabla33610673[[#This Row],[Equity Peak]]-Tabla33610673[[#This Row],[Equity]])/Tabla33610673[[#This Row],[Equity Peak]],"")</f>
        <v>3.5145015842066779E-2</v>
      </c>
      <c r="V213" s="187">
        <f t="shared" si="64"/>
        <v>0</v>
      </c>
      <c r="W213" s="187">
        <f t="shared" si="65"/>
        <v>0</v>
      </c>
      <c r="X213" s="187">
        <f t="shared" si="66"/>
        <v>0</v>
      </c>
      <c r="Y213" s="187">
        <f t="shared" si="67"/>
        <v>0</v>
      </c>
      <c r="Z213" s="187">
        <f t="shared" si="68"/>
        <v>-0.15</v>
      </c>
      <c r="AA213" s="183">
        <f t="shared" si="69"/>
        <v>0</v>
      </c>
      <c r="AB213" s="187">
        <f t="shared" si="70"/>
        <v>0</v>
      </c>
      <c r="AC213" s="183">
        <f t="shared" si="71"/>
        <v>0</v>
      </c>
      <c r="AD213" s="188">
        <f t="shared" si="72"/>
        <v>0.69583333333866904</v>
      </c>
      <c r="AE213" s="188">
        <f t="shared" si="73"/>
        <v>0</v>
      </c>
      <c r="AF213" s="188">
        <f t="shared" si="74"/>
        <v>0.69583333333866904</v>
      </c>
      <c r="AG213" s="188">
        <f t="shared" si="75"/>
        <v>0</v>
      </c>
    </row>
    <row r="214" spans="2:33" ht="15" customHeight="1" x14ac:dyDescent="0.15">
      <c r="B214" s="174" t="s">
        <v>19</v>
      </c>
      <c r="C214" s="175" t="s">
        <v>15</v>
      </c>
      <c r="D214" s="176" t="str">
        <f t="shared" si="57"/>
        <v>C</v>
      </c>
      <c r="E214" s="177" t="d">
        <v>2021-10-04T17:45:00.00000020954757600</v>
      </c>
      <c r="F214" s="178" t="s">
        <v>77</v>
      </c>
      <c r="G214" s="179">
        <v>1767.31</v>
      </c>
      <c r="H214" s="179">
        <v>1761.93</v>
      </c>
      <c r="I214" s="180">
        <f t="shared" si="58"/>
        <v>5.3799999999998818</v>
      </c>
      <c r="J214" s="179">
        <v>1793.12</v>
      </c>
      <c r="K214" s="177" t="d">
        <v>2021-10-05T05:39:00.00000029336660775</v>
      </c>
      <c r="L214" s="179">
        <v>1761.93</v>
      </c>
      <c r="M214" s="181">
        <f t="shared" si="59"/>
        <v>-5.38</v>
      </c>
      <c r="N214" s="182">
        <f t="shared" si="60"/>
        <v>-1</v>
      </c>
      <c r="O214" s="183">
        <f t="shared" si="61"/>
        <v>0</v>
      </c>
      <c r="P214" s="184">
        <f t="shared" si="62"/>
        <v>0</v>
      </c>
      <c r="Q214" s="184">
        <f t="shared" si="63"/>
        <v>-1</v>
      </c>
      <c r="R21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49522.5</v>
      </c>
      <c r="T21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14" s="186">
        <f ca="1">IF(Tabla33610673[[#This Row],[Equity]]&lt;Tabla33610673[[#This Row],[Equity Peak]],(Tabla33610673[[#This Row],[Equity Peak]]-Tabla33610673[[#This Row],[Equity]])/Tabla33610673[[#This Row],[Equity Peak]],"")</f>
        <v>3.4413843529125028E-2</v>
      </c>
      <c r="V214" s="187">
        <f t="shared" si="64"/>
        <v>0</v>
      </c>
      <c r="W214" s="187">
        <f t="shared" si="65"/>
        <v>0</v>
      </c>
      <c r="X214" s="187">
        <f t="shared" si="66"/>
        <v>-1</v>
      </c>
      <c r="Y214" s="187">
        <f t="shared" si="67"/>
        <v>0</v>
      </c>
      <c r="Z214" s="187">
        <f t="shared" si="68"/>
        <v>0</v>
      </c>
      <c r="AA214" s="183">
        <f t="shared" si="69"/>
        <v>0</v>
      </c>
      <c r="AB214" s="187">
        <f t="shared" si="70"/>
        <v>0</v>
      </c>
      <c r="AC214" s="183">
        <f t="shared" si="71"/>
        <v>0</v>
      </c>
      <c r="AD214" s="188">
        <f t="shared" si="72"/>
        <v>0.49583333333430346</v>
      </c>
      <c r="AE214" s="188">
        <f t="shared" si="73"/>
        <v>0</v>
      </c>
      <c r="AF214" s="188">
        <f t="shared" si="74"/>
        <v>0.49583333333430346</v>
      </c>
      <c r="AG214" s="188">
        <f t="shared" si="75"/>
        <v>0</v>
      </c>
    </row>
    <row r="215" spans="2:33" ht="15" customHeight="1" x14ac:dyDescent="0.15">
      <c r="B215" s="174" t="s">
        <v>7</v>
      </c>
      <c r="C215" s="175" t="s">
        <v>15</v>
      </c>
      <c r="D215" s="176" t="str">
        <f t="shared" si="57"/>
        <v>C</v>
      </c>
      <c r="E215" s="177" t="d">
        <v>2021-10-04T12:59:59.99999979045242400</v>
      </c>
      <c r="F215" s="178" t="s">
        <v>102</v>
      </c>
      <c r="G215" s="179">
        <v>151.13900000000001</v>
      </c>
      <c r="H215" s="179">
        <v>150.72399999999999</v>
      </c>
      <c r="I215" s="180">
        <f t="shared" si="58"/>
        <v>0.41500000000002046</v>
      </c>
      <c r="J215" s="179">
        <v>153.35</v>
      </c>
      <c r="K215" s="177" t="d">
        <v>2021-10-04T17:51:59.99999969266355025</v>
      </c>
      <c r="L215" s="179">
        <v>150.96899999999999</v>
      </c>
      <c r="M215" s="181">
        <f t="shared" si="59"/>
        <v>-0.17</v>
      </c>
      <c r="N215" s="182">
        <f t="shared" si="60"/>
        <v>-0.41</v>
      </c>
      <c r="O215" s="183">
        <f t="shared" si="61"/>
        <v>0</v>
      </c>
      <c r="P215" s="184">
        <f t="shared" si="62"/>
        <v>0</v>
      </c>
      <c r="Q215" s="184">
        <f t="shared" si="63"/>
        <v>-0.41</v>
      </c>
      <c r="R21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49772.5</v>
      </c>
      <c r="T21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15" s="186">
        <f ca="1">IF(Tabla33610673[[#This Row],[Equity]]&lt;Tabla33610673[[#This Row],[Equity Peak]],(Tabla33610673[[#This Row],[Equity Peak]]-Tabla33610673[[#This Row],[Equity]])/Tabla33610673[[#This Row],[Equity Peak]],"")</f>
        <v>2.9539361442846697E-2</v>
      </c>
      <c r="V215" s="187">
        <f t="shared" si="64"/>
        <v>-0.41</v>
      </c>
      <c r="W215" s="187">
        <f t="shared" si="65"/>
        <v>0</v>
      </c>
      <c r="X215" s="187">
        <f t="shared" si="66"/>
        <v>0</v>
      </c>
      <c r="Y215" s="187">
        <f t="shared" si="67"/>
        <v>0</v>
      </c>
      <c r="Z215" s="187">
        <f t="shared" si="68"/>
        <v>0</v>
      </c>
      <c r="AA215" s="183">
        <f t="shared" si="69"/>
        <v>0</v>
      </c>
      <c r="AB215" s="187">
        <f t="shared" si="70"/>
        <v>0</v>
      </c>
      <c r="AC215" s="183">
        <f t="shared" si="71"/>
        <v>0</v>
      </c>
      <c r="AD215" s="188">
        <f t="shared" si="72"/>
        <v>0.20277777777664596</v>
      </c>
      <c r="AE215" s="188">
        <f t="shared" si="73"/>
        <v>0</v>
      </c>
      <c r="AF215" s="188">
        <f t="shared" si="74"/>
        <v>0.20277777777664596</v>
      </c>
      <c r="AG215" s="188">
        <f t="shared" si="75"/>
        <v>0</v>
      </c>
    </row>
    <row r="216" spans="2:33" ht="15" customHeight="1" x14ac:dyDescent="0.15">
      <c r="B216" s="174" t="s">
        <v>5</v>
      </c>
      <c r="C216" s="175" t="s">
        <v>13</v>
      </c>
      <c r="D216" s="176" t="str">
        <f t="shared" si="57"/>
        <v>C</v>
      </c>
      <c r="E216" s="177" t="d">
        <v>2021-10-01T17:29:59.99999979045242400</v>
      </c>
      <c r="F216" s="178" t="s">
        <v>81</v>
      </c>
      <c r="G216" s="179">
        <v>14557.67</v>
      </c>
      <c r="H216" s="179">
        <v>14647.9</v>
      </c>
      <c r="I216" s="180">
        <f t="shared" si="58"/>
        <v>90.229999999999563</v>
      </c>
      <c r="J216" s="179">
        <v>14016.3</v>
      </c>
      <c r="K216" s="177" t="d">
        <v>2021-10-01T18:11:00.00000026542693050</v>
      </c>
      <c r="L216" s="179">
        <v>14647.9</v>
      </c>
      <c r="M216" s="181">
        <f t="shared" si="59"/>
        <v>-90.23</v>
      </c>
      <c r="N216" s="182">
        <f t="shared" si="60"/>
        <v>-1</v>
      </c>
      <c r="O216" s="183">
        <f t="shared" si="61"/>
        <v>0</v>
      </c>
      <c r="P216" s="184">
        <f t="shared" si="62"/>
        <v>0</v>
      </c>
      <c r="Q216" s="184">
        <f t="shared" si="63"/>
        <v>-1</v>
      </c>
      <c r="R21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49875</v>
      </c>
      <c r="T21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16" s="186">
        <f ca="1">IF(Tabla33610673[[#This Row],[Equity]]&lt;Tabla33610673[[#This Row],[Equity Peak]],(Tabla33610673[[#This Row],[Equity Peak]]-Tabla33610673[[#This Row],[Equity]])/Tabla33610673[[#This Row],[Equity Peak]],"")</f>
        <v>2.7540823787472583E-2</v>
      </c>
      <c r="V216" s="187">
        <f t="shared" si="64"/>
        <v>0</v>
      </c>
      <c r="W216" s="187">
        <f t="shared" si="65"/>
        <v>0</v>
      </c>
      <c r="X216" s="187">
        <f t="shared" si="66"/>
        <v>0</v>
      </c>
      <c r="Y216" s="187">
        <f t="shared" si="67"/>
        <v>0</v>
      </c>
      <c r="Z216" s="187">
        <f t="shared" si="68"/>
        <v>-1</v>
      </c>
      <c r="AA216" s="183">
        <f t="shared" si="69"/>
        <v>0</v>
      </c>
      <c r="AB216" s="187">
        <f t="shared" si="70"/>
        <v>0</v>
      </c>
      <c r="AC216" s="183">
        <f t="shared" si="71"/>
        <v>0</v>
      </c>
      <c r="AD216" s="188">
        <f t="shared" si="72"/>
        <v>2.8472222227719612E-2</v>
      </c>
      <c r="AE216" s="188">
        <f t="shared" si="73"/>
        <v>0</v>
      </c>
      <c r="AF216" s="188">
        <f t="shared" si="74"/>
        <v>2.8472222227719612E-2</v>
      </c>
      <c r="AG216" s="188">
        <f t="shared" si="75"/>
        <v>0</v>
      </c>
    </row>
    <row r="217" spans="2:33" ht="15" customHeight="1" x14ac:dyDescent="0.15">
      <c r="B217" s="174" t="s">
        <v>5</v>
      </c>
      <c r="C217" s="175" t="s">
        <v>13</v>
      </c>
      <c r="D217" s="176" t="str">
        <f t="shared" si="57"/>
        <v>C</v>
      </c>
      <c r="E217" s="177" t="d">
        <v>2021-09-30T23:00:00.00000020954757600</v>
      </c>
      <c r="F217" s="178" t="s">
        <v>81</v>
      </c>
      <c r="G217" s="179">
        <v>14681.41</v>
      </c>
      <c r="H217" s="179">
        <v>14768.12</v>
      </c>
      <c r="I217" s="180">
        <f t="shared" si="58"/>
        <v>86.710000000000946</v>
      </c>
      <c r="J217" s="179">
        <v>14161.15</v>
      </c>
      <c r="K217" s="177" t="d">
        <v>2021-10-01T14:22:00.00000011175870900</v>
      </c>
      <c r="L217" s="179">
        <v>14701.25</v>
      </c>
      <c r="M217" s="181">
        <f t="shared" si="59"/>
        <v>-19.84</v>
      </c>
      <c r="N217" s="182">
        <f t="shared" si="60"/>
        <v>-0.23</v>
      </c>
      <c r="O217" s="183">
        <f t="shared" si="61"/>
        <v>0</v>
      </c>
      <c r="P217" s="184">
        <f t="shared" si="62"/>
        <v>0</v>
      </c>
      <c r="Q217" s="184">
        <f t="shared" si="63"/>
        <v>-0.23</v>
      </c>
      <c r="R21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50125</v>
      </c>
      <c r="T21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17" s="186">
        <f ca="1">IF(Tabla33610673[[#This Row],[Equity]]&lt;Tabla33610673[[#This Row],[Equity Peak]],(Tabla33610673[[#This Row],[Equity Peak]]-Tabla33610673[[#This Row],[Equity]])/Tabla33610673[[#This Row],[Equity Peak]],"")</f>
        <v>2.2666341701194248E-2</v>
      </c>
      <c r="V217" s="187">
        <f t="shared" si="64"/>
        <v>0</v>
      </c>
      <c r="W217" s="187">
        <f t="shared" si="65"/>
        <v>0</v>
      </c>
      <c r="X217" s="187">
        <f t="shared" si="66"/>
        <v>0</v>
      </c>
      <c r="Y217" s="187">
        <f t="shared" si="67"/>
        <v>0</v>
      </c>
      <c r="Z217" s="187">
        <f t="shared" si="68"/>
        <v>-0.23</v>
      </c>
      <c r="AA217" s="183">
        <f t="shared" si="69"/>
        <v>0</v>
      </c>
      <c r="AB217" s="187">
        <f t="shared" si="70"/>
        <v>0</v>
      </c>
      <c r="AC217" s="183">
        <f t="shared" si="71"/>
        <v>0</v>
      </c>
      <c r="AD217" s="188">
        <f t="shared" si="72"/>
        <v>0.64027777777664596</v>
      </c>
      <c r="AE217" s="188">
        <f t="shared" si="73"/>
        <v>0</v>
      </c>
      <c r="AF217" s="188">
        <f t="shared" si="74"/>
        <v>0.64027777777664596</v>
      </c>
      <c r="AG217" s="188">
        <f t="shared" si="75"/>
        <v>0</v>
      </c>
    </row>
    <row r="218" spans="2:33" ht="15" customHeight="1" x14ac:dyDescent="0.15">
      <c r="B218" s="174" t="s">
        <v>5</v>
      </c>
      <c r="C218" s="175" t="s">
        <v>13</v>
      </c>
      <c r="D218" s="176" t="str">
        <f t="shared" si="57"/>
        <v>C</v>
      </c>
      <c r="E218" s="177" t="d">
        <v>2021-10-01T04:15:00.00000020954757600</v>
      </c>
      <c r="F218" s="178" t="s">
        <v>80</v>
      </c>
      <c r="G218" s="179">
        <v>15123.12</v>
      </c>
      <c r="H218" s="179">
        <v>15203.57</v>
      </c>
      <c r="I218" s="180">
        <f t="shared" si="58"/>
        <v>80.449999999998909</v>
      </c>
      <c r="J218" s="179">
        <v>14533.12</v>
      </c>
      <c r="K218" s="177" t="d">
        <v>2021-10-01T10:56:00.00000005587935450</v>
      </c>
      <c r="L218" s="179">
        <v>15176</v>
      </c>
      <c r="M218" s="181">
        <f t="shared" si="59"/>
        <v>-52.88</v>
      </c>
      <c r="N218" s="182">
        <f t="shared" si="60"/>
        <v>-0.66</v>
      </c>
      <c r="O218" s="183">
        <f t="shared" si="61"/>
        <v>0</v>
      </c>
      <c r="P218" s="184">
        <f t="shared" si="62"/>
        <v>0</v>
      </c>
      <c r="Q218" s="184">
        <f t="shared" si="63"/>
        <v>-0.66</v>
      </c>
      <c r="R21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50182.5</v>
      </c>
      <c r="T21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18" s="186">
        <f ca="1">IF(Tabla33610673[[#This Row],[Equity]]&lt;Tabla33610673[[#This Row],[Equity Peak]],(Tabla33610673[[#This Row],[Equity Peak]]-Tabla33610673[[#This Row],[Equity]])/Tabla33610673[[#This Row],[Equity Peak]],"")</f>
        <v>2.1545210821350233E-2</v>
      </c>
      <c r="V218" s="187">
        <f t="shared" si="64"/>
        <v>0</v>
      </c>
      <c r="W218" s="187">
        <f t="shared" si="65"/>
        <v>0</v>
      </c>
      <c r="X218" s="187">
        <f t="shared" si="66"/>
        <v>0</v>
      </c>
      <c r="Y218" s="187">
        <f t="shared" si="67"/>
        <v>0</v>
      </c>
      <c r="Z218" s="187">
        <f t="shared" si="68"/>
        <v>-0.66</v>
      </c>
      <c r="AA218" s="183">
        <f t="shared" si="69"/>
        <v>0</v>
      </c>
      <c r="AB218" s="187">
        <f t="shared" si="70"/>
        <v>0</v>
      </c>
      <c r="AC218" s="183">
        <f t="shared" si="71"/>
        <v>0</v>
      </c>
      <c r="AD218" s="188">
        <f t="shared" si="72"/>
        <v>0.27847222222044365</v>
      </c>
      <c r="AE218" s="188">
        <f t="shared" si="73"/>
        <v>0</v>
      </c>
      <c r="AF218" s="188">
        <f t="shared" si="74"/>
        <v>0.27847222222044365</v>
      </c>
      <c r="AG218" s="188">
        <f t="shared" si="75"/>
        <v>0</v>
      </c>
    </row>
    <row r="219" spans="2:33" ht="15" customHeight="1" x14ac:dyDescent="0.15">
      <c r="B219" s="174" t="s">
        <v>7</v>
      </c>
      <c r="C219" s="175" t="s">
        <v>13</v>
      </c>
      <c r="D219" s="176" t="str">
        <f t="shared" si="57"/>
        <v>C</v>
      </c>
      <c r="E219" s="177" t="d">
        <v>2021-10-01T04:15:00.00000020954757600</v>
      </c>
      <c r="F219" s="178" t="s">
        <v>102</v>
      </c>
      <c r="G219" s="179">
        <v>149.61699999999999</v>
      </c>
      <c r="H219" s="179">
        <v>149.96899999999999</v>
      </c>
      <c r="I219" s="180">
        <f t="shared" si="58"/>
        <v>0.35200000000000387</v>
      </c>
      <c r="J219" s="179">
        <v>147.73699999999999</v>
      </c>
      <c r="K219" s="177" t="d">
        <v>2021-10-01T10:54:00.00000029336660775</v>
      </c>
      <c r="L219" s="179">
        <v>149.88499999999999</v>
      </c>
      <c r="M219" s="181">
        <f t="shared" si="59"/>
        <v>-0.26800000000000002</v>
      </c>
      <c r="N219" s="182">
        <f t="shared" si="60"/>
        <v>-0.76</v>
      </c>
      <c r="O219" s="183">
        <f t="shared" si="61"/>
        <v>0</v>
      </c>
      <c r="P219" s="184">
        <f t="shared" si="62"/>
        <v>0</v>
      </c>
      <c r="Q219" s="184">
        <f t="shared" si="63"/>
        <v>-0.76</v>
      </c>
      <c r="R21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50347.5</v>
      </c>
      <c r="T21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19" s="186">
        <f ca="1">IF(Tabla33610673[[#This Row],[Equity]]&lt;Tabla33610673[[#This Row],[Equity Peak]],(Tabla33610673[[#This Row],[Equity Peak]]-Tabla33610673[[#This Row],[Equity]])/Tabla33610673[[#This Row],[Equity Peak]],"")</f>
        <v>1.8328052644406533E-2</v>
      </c>
      <c r="V219" s="187">
        <f t="shared" si="64"/>
        <v>-0.76</v>
      </c>
      <c r="W219" s="187">
        <f t="shared" si="65"/>
        <v>0</v>
      </c>
      <c r="X219" s="187">
        <f t="shared" si="66"/>
        <v>0</v>
      </c>
      <c r="Y219" s="187">
        <f t="shared" si="67"/>
        <v>0</v>
      </c>
      <c r="Z219" s="187">
        <f t="shared" si="68"/>
        <v>0</v>
      </c>
      <c r="AA219" s="183">
        <f t="shared" si="69"/>
        <v>0</v>
      </c>
      <c r="AB219" s="187">
        <f t="shared" si="70"/>
        <v>0</v>
      </c>
      <c r="AC219" s="183">
        <f t="shared" si="71"/>
        <v>0</v>
      </c>
      <c r="AD219" s="188">
        <f t="shared" si="72"/>
        <v>0.27708333333430346</v>
      </c>
      <c r="AE219" s="188">
        <f t="shared" si="73"/>
        <v>0</v>
      </c>
      <c r="AF219" s="188">
        <f t="shared" si="74"/>
        <v>0.27708333333430346</v>
      </c>
      <c r="AG219" s="188">
        <f t="shared" si="75"/>
        <v>0</v>
      </c>
    </row>
    <row r="220" spans="2:33" ht="15" customHeight="1" x14ac:dyDescent="0.15">
      <c r="B220" s="174" t="s">
        <v>5</v>
      </c>
      <c r="C220" s="175" t="s">
        <v>13</v>
      </c>
      <c r="D220" s="176" t="str">
        <f t="shared" si="57"/>
        <v>C</v>
      </c>
      <c r="E220" s="177" t="d">
        <v>2021-09-30T19:15:00.00000020954757600</v>
      </c>
      <c r="F220" s="178" t="s">
        <v>80</v>
      </c>
      <c r="G220" s="179">
        <v>15217.67</v>
      </c>
      <c r="H220" s="179">
        <v>15296.51</v>
      </c>
      <c r="I220" s="180">
        <f t="shared" si="58"/>
        <v>78.840000000000146</v>
      </c>
      <c r="J220" s="179">
        <v>14639.5</v>
      </c>
      <c r="K220" s="177" t="d">
        <v>2021-09-30T21:50:59.99999991618096825</v>
      </c>
      <c r="L220" s="179">
        <v>15296.51</v>
      </c>
      <c r="M220" s="181">
        <f t="shared" si="59"/>
        <v>-78.84</v>
      </c>
      <c r="N220" s="182">
        <f t="shared" si="60"/>
        <v>-1</v>
      </c>
      <c r="O220" s="183">
        <f t="shared" si="61"/>
        <v>0</v>
      </c>
      <c r="P220" s="184">
        <f t="shared" si="62"/>
        <v>0</v>
      </c>
      <c r="Q220" s="184">
        <f t="shared" si="63"/>
        <v>-1</v>
      </c>
      <c r="R22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50537.5</v>
      </c>
      <c r="T22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20" s="186">
        <f ca="1">IF(Tabla33610673[[#This Row],[Equity]]&lt;Tabla33610673[[#This Row],[Equity Peak]],(Tabla33610673[[#This Row],[Equity Peak]]-Tabla33610673[[#This Row],[Equity]])/Tabla33610673[[#This Row],[Equity Peak]],"")</f>
        <v>1.4623446258834999E-2</v>
      </c>
      <c r="V220" s="187">
        <f t="shared" si="64"/>
        <v>0</v>
      </c>
      <c r="W220" s="187">
        <f t="shared" si="65"/>
        <v>0</v>
      </c>
      <c r="X220" s="187">
        <f t="shared" si="66"/>
        <v>0</v>
      </c>
      <c r="Y220" s="187">
        <f t="shared" si="67"/>
        <v>0</v>
      </c>
      <c r="Z220" s="187">
        <f t="shared" si="68"/>
        <v>-1</v>
      </c>
      <c r="AA220" s="183">
        <f t="shared" si="69"/>
        <v>0</v>
      </c>
      <c r="AB220" s="187">
        <f t="shared" si="70"/>
        <v>0</v>
      </c>
      <c r="AC220" s="183">
        <f t="shared" si="71"/>
        <v>0</v>
      </c>
      <c r="AD220" s="188">
        <f t="shared" si="72"/>
        <v>0.10833333332993789</v>
      </c>
      <c r="AE220" s="188">
        <f t="shared" si="73"/>
        <v>0</v>
      </c>
      <c r="AF220" s="188">
        <f t="shared" si="74"/>
        <v>0.10833333332993789</v>
      </c>
      <c r="AG220" s="188">
        <f t="shared" si="75"/>
        <v>0</v>
      </c>
    </row>
    <row r="221" spans="2:33" ht="15" customHeight="1" x14ac:dyDescent="0.15">
      <c r="B221" s="174" t="s">
        <v>7</v>
      </c>
      <c r="C221" s="175" t="s">
        <v>13</v>
      </c>
      <c r="D221" s="176" t="str">
        <f t="shared" si="57"/>
        <v>C</v>
      </c>
      <c r="E221" s="177" t="d">
        <v>2021-09-30T20:45:00.00000020954757600</v>
      </c>
      <c r="F221" s="178" t="s">
        <v>102</v>
      </c>
      <c r="G221" s="179">
        <v>149.828</v>
      </c>
      <c r="H221" s="179">
        <v>150.215</v>
      </c>
      <c r="I221" s="180">
        <f t="shared" si="58"/>
        <v>0.38700000000000045</v>
      </c>
      <c r="J221" s="179">
        <v>147.767</v>
      </c>
      <c r="K221" s="177" t="d">
        <v>2021-09-30T21:36:59.99999969266355025</v>
      </c>
      <c r="L221" s="179">
        <v>150.215</v>
      </c>
      <c r="M221" s="181">
        <f t="shared" si="59"/>
        <v>-0.38700000000000001</v>
      </c>
      <c r="N221" s="182">
        <f t="shared" si="60"/>
        <v>-1</v>
      </c>
      <c r="O221" s="183">
        <f t="shared" si="61"/>
        <v>0</v>
      </c>
      <c r="P221" s="184">
        <f t="shared" si="62"/>
        <v>0</v>
      </c>
      <c r="Q221" s="184">
        <f t="shared" si="63"/>
        <v>-1</v>
      </c>
      <c r="R22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50787.5</v>
      </c>
      <c r="T22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21" s="186">
        <f ca="1">IF(Tabla33610673[[#This Row],[Equity]]&lt;Tabla33610673[[#This Row],[Equity Peak]],(Tabla33610673[[#This Row],[Equity Peak]]-Tabla33610673[[#This Row],[Equity]])/Tabla33610673[[#This Row],[Equity Peak]],"")</f>
        <v>9.7489641725566657E-3</v>
      </c>
      <c r="V221" s="187">
        <f t="shared" si="64"/>
        <v>-1</v>
      </c>
      <c r="W221" s="187">
        <f t="shared" si="65"/>
        <v>0</v>
      </c>
      <c r="X221" s="187">
        <f t="shared" si="66"/>
        <v>0</v>
      </c>
      <c r="Y221" s="187">
        <f t="shared" si="67"/>
        <v>0</v>
      </c>
      <c r="Z221" s="187">
        <f t="shared" si="68"/>
        <v>0</v>
      </c>
      <c r="AA221" s="183">
        <f t="shared" si="69"/>
        <v>0</v>
      </c>
      <c r="AB221" s="187">
        <f t="shared" si="70"/>
        <v>0</v>
      </c>
      <c r="AC221" s="183">
        <f t="shared" si="71"/>
        <v>0</v>
      </c>
      <c r="AD221" s="188">
        <f t="shared" si="72"/>
        <v>3.6111111105128657E-2</v>
      </c>
      <c r="AE221" s="188">
        <f t="shared" si="73"/>
        <v>0</v>
      </c>
      <c r="AF221" s="188">
        <f t="shared" si="74"/>
        <v>3.6111111105128657E-2</v>
      </c>
      <c r="AG221" s="188">
        <f t="shared" si="75"/>
        <v>0</v>
      </c>
    </row>
    <row r="222" spans="2:33" ht="15" customHeight="1" x14ac:dyDescent="0.15">
      <c r="B222" s="174" t="s">
        <v>5</v>
      </c>
      <c r="C222" s="175" t="s">
        <v>13</v>
      </c>
      <c r="D222" s="176" t="str">
        <f t="shared" si="57"/>
        <v>C</v>
      </c>
      <c r="E222" s="177" t="d">
        <v>2021-09-30T19:15:00.00000020954757600</v>
      </c>
      <c r="F222" s="178" t="s">
        <v>81</v>
      </c>
      <c r="G222" s="179">
        <v>14709.91</v>
      </c>
      <c r="H222" s="179">
        <v>14796.84</v>
      </c>
      <c r="I222" s="180">
        <f t="shared" si="58"/>
        <v>86.930000000000291</v>
      </c>
      <c r="J222" s="179">
        <v>14188.36</v>
      </c>
      <c r="K222" s="177" t="d">
        <v>2021-09-30T21:05:59.99999991618096825</v>
      </c>
      <c r="L222" s="179">
        <v>14796.84</v>
      </c>
      <c r="M222" s="181">
        <f t="shared" si="59"/>
        <v>-86.93</v>
      </c>
      <c r="N222" s="182">
        <f t="shared" si="60"/>
        <v>-1</v>
      </c>
      <c r="O222" s="183">
        <f t="shared" si="61"/>
        <v>0</v>
      </c>
      <c r="P222" s="184">
        <f t="shared" si="62"/>
        <v>0</v>
      </c>
      <c r="Q222" s="184">
        <f t="shared" si="63"/>
        <v>-1</v>
      </c>
      <c r="R22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51037.5</v>
      </c>
      <c r="T22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22" s="186">
        <f ca="1">IF(Tabla33610673[[#This Row],[Equity]]&lt;Tabla33610673[[#This Row],[Equity Peak]],(Tabla33610673[[#This Row],[Equity Peak]]-Tabla33610673[[#This Row],[Equity]])/Tabla33610673[[#This Row],[Equity Peak]],"")</f>
        <v>4.8744820862783329E-3</v>
      </c>
      <c r="V222" s="187">
        <f t="shared" si="64"/>
        <v>0</v>
      </c>
      <c r="W222" s="187">
        <f t="shared" si="65"/>
        <v>0</v>
      </c>
      <c r="X222" s="187">
        <f t="shared" si="66"/>
        <v>0</v>
      </c>
      <c r="Y222" s="187">
        <f t="shared" si="67"/>
        <v>0</v>
      </c>
      <c r="Z222" s="187">
        <f t="shared" si="68"/>
        <v>-1</v>
      </c>
      <c r="AA222" s="183">
        <f t="shared" si="69"/>
        <v>0</v>
      </c>
      <c r="AB222" s="187">
        <f t="shared" si="70"/>
        <v>0</v>
      </c>
      <c r="AC222" s="183">
        <f t="shared" si="71"/>
        <v>0</v>
      </c>
      <c r="AD222" s="188">
        <f t="shared" si="72"/>
        <v>7.7083333329937886E-2</v>
      </c>
      <c r="AE222" s="188">
        <f t="shared" si="73"/>
        <v>0</v>
      </c>
      <c r="AF222" s="188">
        <f t="shared" si="74"/>
        <v>7.7083333329937886E-2</v>
      </c>
      <c r="AG222" s="188">
        <f t="shared" si="75"/>
        <v>0</v>
      </c>
    </row>
    <row r="223" spans="2:33" ht="15" customHeight="1" x14ac:dyDescent="0.15">
      <c r="B223" s="174" t="s">
        <v>5</v>
      </c>
      <c r="C223" s="175" t="s">
        <v>13</v>
      </c>
      <c r="D223" s="176" t="str">
        <f t="shared" si="57"/>
        <v>C</v>
      </c>
      <c r="E223" s="177" t="d">
        <v>2021-09-30T17:15:00.000</v>
      </c>
      <c r="F223" s="178" t="s">
        <v>82</v>
      </c>
      <c r="G223" s="179">
        <v>4362.42</v>
      </c>
      <c r="H223" s="179">
        <v>4384.84</v>
      </c>
      <c r="I223" s="180">
        <f t="shared" si="58"/>
        <v>22.420000000000073</v>
      </c>
      <c r="J223" s="179">
        <v>4216.68</v>
      </c>
      <c r="K223" s="177" t="d">
        <v>2021-09-30T21:05:59.99999991618096825</v>
      </c>
      <c r="L223" s="179">
        <v>4340.6400000000003</v>
      </c>
      <c r="M223" s="181">
        <f t="shared" si="59"/>
        <v>21.78</v>
      </c>
      <c r="N223" s="182">
        <f t="shared" si="60"/>
        <v>0.97</v>
      </c>
      <c r="O223" s="183">
        <f t="shared" si="61"/>
        <v>0</v>
      </c>
      <c r="P223" s="184">
        <f t="shared" si="62"/>
        <v>0.97</v>
      </c>
      <c r="Q223" s="184">
        <f t="shared" si="63"/>
        <v>0</v>
      </c>
      <c r="R22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51287.5</v>
      </c>
      <c r="T22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51287.5</v>
      </c>
      <c r="U223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223" s="187">
        <f t="shared" si="64"/>
        <v>0</v>
      </c>
      <c r="W223" s="187">
        <f t="shared" si="65"/>
        <v>0</v>
      </c>
      <c r="X223" s="187">
        <f t="shared" si="66"/>
        <v>0</v>
      </c>
      <c r="Y223" s="187">
        <f t="shared" si="67"/>
        <v>0</v>
      </c>
      <c r="Z223" s="187">
        <f t="shared" si="68"/>
        <v>0.97</v>
      </c>
      <c r="AA223" s="183">
        <f t="shared" si="69"/>
        <v>0</v>
      </c>
      <c r="AB223" s="187">
        <f t="shared" si="70"/>
        <v>0</v>
      </c>
      <c r="AC223" s="183">
        <f t="shared" si="71"/>
        <v>0</v>
      </c>
      <c r="AD223" s="188">
        <f t="shared" si="72"/>
        <v>0.16041666666569654</v>
      </c>
      <c r="AE223" s="188">
        <f t="shared" si="73"/>
        <v>0.16041666666569654</v>
      </c>
      <c r="AF223" s="188">
        <f t="shared" si="74"/>
        <v>0</v>
      </c>
      <c r="AG223" s="188">
        <f t="shared" si="75"/>
        <v>0</v>
      </c>
    </row>
    <row r="224" spans="2:33" ht="15" customHeight="1" x14ac:dyDescent="0.15">
      <c r="B224" s="174" t="s">
        <v>19</v>
      </c>
      <c r="C224" s="175" t="s">
        <v>15</v>
      </c>
      <c r="D224" s="176" t="str">
        <f t="shared" si="57"/>
        <v>C</v>
      </c>
      <c r="E224" s="177" t="d">
        <v>2021-09-30T15:59:59.99999979045242400</v>
      </c>
      <c r="F224" s="178" t="s">
        <v>77</v>
      </c>
      <c r="G224" s="179">
        <v>1737.24</v>
      </c>
      <c r="H224" s="179">
        <v>1732.05</v>
      </c>
      <c r="I224" s="180">
        <f t="shared" si="58"/>
        <v>5.1900000000000546</v>
      </c>
      <c r="J224" s="179">
        <v>1762.18</v>
      </c>
      <c r="K224" s="177" t="d">
        <v>2021-09-30T18:08:59.99999987427145575</v>
      </c>
      <c r="L224" s="179">
        <v>1762.18</v>
      </c>
      <c r="M224" s="181">
        <f t="shared" si="59"/>
        <v>24.94</v>
      </c>
      <c r="N224" s="182">
        <f t="shared" si="60"/>
        <v>4.8099999999999996</v>
      </c>
      <c r="O224" s="183">
        <f t="shared" si="61"/>
        <v>0</v>
      </c>
      <c r="P224" s="184">
        <f t="shared" si="62"/>
        <v>4.8099999999999996</v>
      </c>
      <c r="Q224" s="184">
        <f t="shared" si="63"/>
        <v>0</v>
      </c>
      <c r="R22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51045</v>
      </c>
      <c r="T22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51045</v>
      </c>
      <c r="U224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224" s="187">
        <f t="shared" si="64"/>
        <v>0</v>
      </c>
      <c r="W224" s="187">
        <f t="shared" si="65"/>
        <v>0</v>
      </c>
      <c r="X224" s="187">
        <f t="shared" si="66"/>
        <v>4.8099999999999996</v>
      </c>
      <c r="Y224" s="187">
        <f t="shared" si="67"/>
        <v>0</v>
      </c>
      <c r="Z224" s="187">
        <f t="shared" si="68"/>
        <v>0</v>
      </c>
      <c r="AA224" s="183">
        <f t="shared" si="69"/>
        <v>0</v>
      </c>
      <c r="AB224" s="187">
        <f t="shared" si="70"/>
        <v>0</v>
      </c>
      <c r="AC224" s="183">
        <f t="shared" si="71"/>
        <v>0</v>
      </c>
      <c r="AD224" s="188">
        <f t="shared" si="72"/>
        <v>8.9583333334303461E-2</v>
      </c>
      <c r="AE224" s="188">
        <f t="shared" si="73"/>
        <v>8.9583333334303461E-2</v>
      </c>
      <c r="AF224" s="188">
        <f t="shared" si="74"/>
        <v>0</v>
      </c>
      <c r="AG224" s="188">
        <f t="shared" si="75"/>
        <v>0</v>
      </c>
    </row>
    <row r="225" spans="2:33" ht="15" customHeight="1" x14ac:dyDescent="0.15">
      <c r="B225" s="174" t="s">
        <v>7</v>
      </c>
      <c r="C225" s="175" t="s">
        <v>15</v>
      </c>
      <c r="D225" s="176" t="str">
        <f t="shared" si="57"/>
        <v>C</v>
      </c>
      <c r="E225" s="177" t="d">
        <v>2021-09-29T17:15:00.000</v>
      </c>
      <c r="F225" s="178" t="s">
        <v>103</v>
      </c>
      <c r="G225" s="179">
        <v>111.733</v>
      </c>
      <c r="H225" s="179">
        <v>111.54600000000001</v>
      </c>
      <c r="I225" s="180">
        <f t="shared" si="58"/>
        <v>0.18699999999999761</v>
      </c>
      <c r="J225" s="179">
        <v>112.90900000000001</v>
      </c>
      <c r="K225" s="177" t="d">
        <v>2021-09-30T16:24:00.00000008381903175</v>
      </c>
      <c r="L225" s="179">
        <v>111.807</v>
      </c>
      <c r="M225" s="181">
        <f t="shared" si="59"/>
        <v>7.3999999999999996E-2</v>
      </c>
      <c r="N225" s="182">
        <f t="shared" si="60"/>
        <v>0.4</v>
      </c>
      <c r="O225" s="183">
        <f t="shared" si="61"/>
        <v>0</v>
      </c>
      <c r="P225" s="184">
        <f t="shared" si="62"/>
        <v>0.4</v>
      </c>
      <c r="Q225" s="184">
        <f t="shared" si="63"/>
        <v>0</v>
      </c>
      <c r="R22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49842.5</v>
      </c>
      <c r="T22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25" s="186">
        <f ca="1">IF(Tabla33610673[[#This Row],[Equity]]&lt;Tabla33610673[[#This Row],[Equity Peak]],(Tabla33610673[[#This Row],[Equity Peak]]-Tabla33610673[[#This Row],[Equity]])/Tabla33610673[[#This Row],[Equity Peak]],"")</f>
        <v>8.6026852312282454E-3</v>
      </c>
      <c r="V225" s="187">
        <f t="shared" si="64"/>
        <v>0.4</v>
      </c>
      <c r="W225" s="187">
        <f t="shared" si="65"/>
        <v>0</v>
      </c>
      <c r="X225" s="187">
        <f t="shared" si="66"/>
        <v>0</v>
      </c>
      <c r="Y225" s="187">
        <f t="shared" si="67"/>
        <v>0</v>
      </c>
      <c r="Z225" s="187">
        <f t="shared" si="68"/>
        <v>0</v>
      </c>
      <c r="AA225" s="183">
        <f t="shared" si="69"/>
        <v>0</v>
      </c>
      <c r="AB225" s="187">
        <f t="shared" si="70"/>
        <v>0</v>
      </c>
      <c r="AC225" s="183">
        <f t="shared" si="71"/>
        <v>0</v>
      </c>
      <c r="AD225" s="188">
        <f t="shared" si="72"/>
        <v>0.96458333333430346</v>
      </c>
      <c r="AE225" s="188">
        <f t="shared" si="73"/>
        <v>0.96458333333430346</v>
      </c>
      <c r="AF225" s="188">
        <f t="shared" si="74"/>
        <v>0</v>
      </c>
      <c r="AG225" s="188">
        <f t="shared" si="75"/>
        <v>0</v>
      </c>
    </row>
    <row r="226" spans="2:33" ht="15" customHeight="1" x14ac:dyDescent="0.15">
      <c r="B226" s="174" t="s">
        <v>7</v>
      </c>
      <c r="C226" s="175" t="s">
        <v>13</v>
      </c>
      <c r="D226" s="176" t="str">
        <f t="shared" si="57"/>
        <v>C</v>
      </c>
      <c r="E226" s="177" t="d">
        <v>2021-09-29T10:15:00.00000020954757600</v>
      </c>
      <c r="F226" s="178" t="s">
        <v>102</v>
      </c>
      <c r="G226" s="179">
        <v>150.517</v>
      </c>
      <c r="H226" s="179">
        <v>150.88999999999999</v>
      </c>
      <c r="I226" s="180">
        <f t="shared" si="58"/>
        <v>0.37299999999999045</v>
      </c>
      <c r="J226" s="179">
        <v>148.53</v>
      </c>
      <c r="K226" s="177" t="d">
        <v>2021-09-29T21:36:59.99999969266355025</v>
      </c>
      <c r="L226" s="179">
        <v>150.51599999999999</v>
      </c>
      <c r="M226" s="181">
        <f t="shared" si="59"/>
        <v>1E-3</v>
      </c>
      <c r="N226" s="182">
        <f t="shared" si="60"/>
        <v>0</v>
      </c>
      <c r="O226" s="183">
        <f t="shared" si="61"/>
        <v>0</v>
      </c>
      <c r="P226" s="184">
        <f t="shared" si="62"/>
        <v>0</v>
      </c>
      <c r="Q226" s="184">
        <f t="shared" si="63"/>
        <v>0</v>
      </c>
      <c r="R22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49742.5</v>
      </c>
      <c r="T22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26" s="186">
        <f ca="1">IF(Tabla33610673[[#This Row],[Equity]]&lt;Tabla33610673[[#This Row],[Equity Peak]],(Tabla33610673[[#This Row],[Equity Peak]]-Tabla33610673[[#This Row],[Equity]])/Tabla33610673[[#This Row],[Equity Peak]],"")</f>
        <v>1.0591745400298358E-2</v>
      </c>
      <c r="V226" s="187">
        <f t="shared" si="64"/>
        <v>0</v>
      </c>
      <c r="W226" s="187">
        <f t="shared" si="65"/>
        <v>0</v>
      </c>
      <c r="X226" s="187">
        <f t="shared" si="66"/>
        <v>0</v>
      </c>
      <c r="Y226" s="187">
        <f t="shared" si="67"/>
        <v>0</v>
      </c>
      <c r="Z226" s="187">
        <f t="shared" si="68"/>
        <v>0</v>
      </c>
      <c r="AA226" s="183">
        <f t="shared" si="69"/>
        <v>0</v>
      </c>
      <c r="AB226" s="187">
        <f t="shared" si="70"/>
        <v>0</v>
      </c>
      <c r="AC226" s="183">
        <f t="shared" si="71"/>
        <v>0</v>
      </c>
      <c r="AD226" s="188">
        <f t="shared" si="72"/>
        <v>0.47361111110512866</v>
      </c>
      <c r="AE226" s="188">
        <f t="shared" si="73"/>
        <v>0</v>
      </c>
      <c r="AF226" s="188">
        <f t="shared" si="74"/>
        <v>0</v>
      </c>
      <c r="AG226" s="188">
        <f t="shared" si="75"/>
        <v>0.47361111110512866</v>
      </c>
    </row>
    <row r="227" spans="2:33" ht="15" customHeight="1" x14ac:dyDescent="0.15">
      <c r="B227" s="174" t="s">
        <v>19</v>
      </c>
      <c r="C227" s="175" t="s">
        <v>15</v>
      </c>
      <c r="D227" s="176" t="str">
        <f t="shared" si="57"/>
        <v>C</v>
      </c>
      <c r="E227" s="177" t="d">
        <v>2021-09-29T12:00:00.000</v>
      </c>
      <c r="F227" s="178" t="s">
        <v>77</v>
      </c>
      <c r="G227" s="179">
        <v>1743.18</v>
      </c>
      <c r="H227" s="179">
        <v>1737.95</v>
      </c>
      <c r="I227" s="180">
        <f t="shared" si="58"/>
        <v>5.2300000000000182</v>
      </c>
      <c r="J227" s="179">
        <v>1768.3</v>
      </c>
      <c r="K227" s="177" t="d">
        <v>2021-09-29T15:30:00.00000020954757600</v>
      </c>
      <c r="L227" s="179">
        <v>1737.95</v>
      </c>
      <c r="M227" s="181">
        <f t="shared" si="59"/>
        <v>-5.23</v>
      </c>
      <c r="N227" s="182">
        <f t="shared" si="60"/>
        <v>-1</v>
      </c>
      <c r="O227" s="183">
        <f t="shared" si="61"/>
        <v>0</v>
      </c>
      <c r="P227" s="184">
        <f t="shared" si="62"/>
        <v>0</v>
      </c>
      <c r="Q227" s="184">
        <f t="shared" si="63"/>
        <v>-1</v>
      </c>
      <c r="R22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49742.5</v>
      </c>
      <c r="T22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27" s="186">
        <f ca="1">IF(Tabla33610673[[#This Row],[Equity]]&lt;Tabla33610673[[#This Row],[Equity Peak]],(Tabla33610673[[#This Row],[Equity Peak]]-Tabla33610673[[#This Row],[Equity]])/Tabla33610673[[#This Row],[Equity Peak]],"")</f>
        <v>1.0591745400298358E-2</v>
      </c>
      <c r="V227" s="187">
        <f t="shared" si="64"/>
        <v>0</v>
      </c>
      <c r="W227" s="187">
        <f t="shared" si="65"/>
        <v>0</v>
      </c>
      <c r="X227" s="187">
        <f t="shared" si="66"/>
        <v>-1</v>
      </c>
      <c r="Y227" s="187">
        <f t="shared" si="67"/>
        <v>0</v>
      </c>
      <c r="Z227" s="187">
        <f t="shared" si="68"/>
        <v>0</v>
      </c>
      <c r="AA227" s="183">
        <f t="shared" si="69"/>
        <v>0</v>
      </c>
      <c r="AB227" s="187">
        <f t="shared" si="70"/>
        <v>0</v>
      </c>
      <c r="AC227" s="183">
        <f t="shared" si="71"/>
        <v>0</v>
      </c>
      <c r="AD227" s="188">
        <f t="shared" si="72"/>
        <v>0.14583333333575865</v>
      </c>
      <c r="AE227" s="188">
        <f t="shared" si="73"/>
        <v>0</v>
      </c>
      <c r="AF227" s="188">
        <f t="shared" si="74"/>
        <v>0.14583333333575865</v>
      </c>
      <c r="AG227" s="188">
        <f t="shared" si="75"/>
        <v>0</v>
      </c>
    </row>
    <row r="228" spans="2:33" ht="15" customHeight="1" x14ac:dyDescent="0.15">
      <c r="B228" s="174" t="s">
        <v>5</v>
      </c>
      <c r="C228" s="175" t="s">
        <v>13</v>
      </c>
      <c r="D228" s="176" t="str">
        <f t="shared" si="57"/>
        <v>C</v>
      </c>
      <c r="E228" s="177" t="d">
        <v>2021-09-28T17:00:00.00000020954757600</v>
      </c>
      <c r="F228" s="178" t="s">
        <v>80</v>
      </c>
      <c r="G228" s="179">
        <v>15341.47</v>
      </c>
      <c r="H228" s="179">
        <v>15400.64</v>
      </c>
      <c r="I228" s="180">
        <f t="shared" si="58"/>
        <v>59.170000000000073</v>
      </c>
      <c r="J228" s="179">
        <v>14907.53</v>
      </c>
      <c r="K228" s="177" t="d">
        <v>2021-09-29T09:01:00.00000019557774075</v>
      </c>
      <c r="L228" s="179">
        <v>15342.2</v>
      </c>
      <c r="M228" s="181">
        <f t="shared" si="59"/>
        <v>-0.73</v>
      </c>
      <c r="N228" s="182">
        <f t="shared" si="60"/>
        <v>-0.01</v>
      </c>
      <c r="O228" s="183">
        <f t="shared" si="61"/>
        <v>0</v>
      </c>
      <c r="P228" s="184">
        <f t="shared" si="62"/>
        <v>0</v>
      </c>
      <c r="Q228" s="184">
        <f t="shared" si="63"/>
        <v>-0.01</v>
      </c>
      <c r="R22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49992.5</v>
      </c>
      <c r="T22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28" s="186">
        <f ca="1">IF(Tabla33610673[[#This Row],[Equity]]&lt;Tabla33610673[[#This Row],[Equity Peak]],(Tabla33610673[[#This Row],[Equity Peak]]-Tabla33610673[[#This Row],[Equity]])/Tabla33610673[[#This Row],[Equity Peak]],"")</f>
        <v>5.6190949776230735E-3</v>
      </c>
      <c r="V228" s="187">
        <f t="shared" si="64"/>
        <v>0</v>
      </c>
      <c r="W228" s="187">
        <f t="shared" si="65"/>
        <v>0</v>
      </c>
      <c r="X228" s="187">
        <f t="shared" si="66"/>
        <v>0</v>
      </c>
      <c r="Y228" s="187">
        <f t="shared" si="67"/>
        <v>0</v>
      </c>
      <c r="Z228" s="187">
        <f t="shared" si="68"/>
        <v>-0.01</v>
      </c>
      <c r="AA228" s="183">
        <f t="shared" si="69"/>
        <v>0</v>
      </c>
      <c r="AB228" s="187">
        <f t="shared" si="70"/>
        <v>0</v>
      </c>
      <c r="AC228" s="183">
        <f t="shared" si="71"/>
        <v>0</v>
      </c>
      <c r="AD228" s="188">
        <f t="shared" si="72"/>
        <v>0.66736111111094942</v>
      </c>
      <c r="AE228" s="188">
        <f t="shared" si="73"/>
        <v>0</v>
      </c>
      <c r="AF228" s="188">
        <f t="shared" si="74"/>
        <v>0.66736111111094942</v>
      </c>
      <c r="AG228" s="188">
        <f t="shared" si="75"/>
        <v>0</v>
      </c>
    </row>
    <row r="229" spans="2:33" ht="15" customHeight="1" x14ac:dyDescent="0.15">
      <c r="B229" s="174" t="s">
        <v>5</v>
      </c>
      <c r="C229" s="175" t="s">
        <v>13</v>
      </c>
      <c r="D229" s="176" t="str">
        <f t="shared" si="57"/>
        <v>C</v>
      </c>
      <c r="E229" s="177" t="d">
        <v>2021-09-28T03:45:00.000</v>
      </c>
      <c r="F229" s="178" t="s">
        <v>82</v>
      </c>
      <c r="G229" s="179">
        <v>4431.74</v>
      </c>
      <c r="H229" s="179">
        <v>4453.3999999999996</v>
      </c>
      <c r="I229" s="180">
        <f t="shared" si="58"/>
        <v>21.659999999999854</v>
      </c>
      <c r="J229" s="179">
        <v>4290.95</v>
      </c>
      <c r="K229" s="177" t="d">
        <v>2021-09-28T21:42:00.0000000419095125</v>
      </c>
      <c r="L229" s="179">
        <v>4367.3900000000003</v>
      </c>
      <c r="M229" s="181">
        <f t="shared" si="59"/>
        <v>64.349999999999994</v>
      </c>
      <c r="N229" s="182">
        <f t="shared" si="60"/>
        <v>2.97</v>
      </c>
      <c r="O229" s="183">
        <f t="shared" si="61"/>
        <v>0</v>
      </c>
      <c r="P229" s="184">
        <f t="shared" si="62"/>
        <v>2.97</v>
      </c>
      <c r="Q229" s="184">
        <f t="shared" si="63"/>
        <v>0</v>
      </c>
      <c r="R22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49995</v>
      </c>
      <c r="T22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29" s="186">
        <f ca="1">IF(Tabla33610673[[#This Row],[Equity]]&lt;Tabla33610673[[#This Row],[Equity Peak]],(Tabla33610673[[#This Row],[Equity Peak]]-Tabla33610673[[#This Row],[Equity]])/Tabla33610673[[#This Row],[Equity Peak]],"")</f>
        <v>5.5693684733963203E-3</v>
      </c>
      <c r="V229" s="187">
        <f t="shared" si="64"/>
        <v>0</v>
      </c>
      <c r="W229" s="187">
        <f t="shared" si="65"/>
        <v>0</v>
      </c>
      <c r="X229" s="187">
        <f t="shared" si="66"/>
        <v>0</v>
      </c>
      <c r="Y229" s="187">
        <f t="shared" si="67"/>
        <v>0</v>
      </c>
      <c r="Z229" s="187">
        <f t="shared" si="68"/>
        <v>2.97</v>
      </c>
      <c r="AA229" s="183">
        <f t="shared" si="69"/>
        <v>0</v>
      </c>
      <c r="AB229" s="187">
        <f t="shared" si="70"/>
        <v>0</v>
      </c>
      <c r="AC229" s="183">
        <f t="shared" si="71"/>
        <v>0</v>
      </c>
      <c r="AD229" s="188">
        <f t="shared" si="72"/>
        <v>0.74791666666715173</v>
      </c>
      <c r="AE229" s="188">
        <f t="shared" si="73"/>
        <v>0.74791666666715173</v>
      </c>
      <c r="AF229" s="188">
        <f t="shared" si="74"/>
        <v>0</v>
      </c>
      <c r="AG229" s="188">
        <f t="shared" si="75"/>
        <v>0</v>
      </c>
    </row>
    <row r="230" spans="2:33" ht="15" customHeight="1" x14ac:dyDescent="0.15">
      <c r="B230" s="174" t="s">
        <v>7</v>
      </c>
      <c r="C230" s="175" t="s">
        <v>15</v>
      </c>
      <c r="D230" s="176" t="str">
        <f t="shared" si="57"/>
        <v>C</v>
      </c>
      <c r="E230" s="177" t="d">
        <v>2021-09-28T04:30:00.000</v>
      </c>
      <c r="F230" s="178" t="s">
        <v>103</v>
      </c>
      <c r="G230" s="179">
        <v>111.105</v>
      </c>
      <c r="H230" s="179">
        <v>110.934</v>
      </c>
      <c r="I230" s="180">
        <f t="shared" si="58"/>
        <v>0.17100000000000648</v>
      </c>
      <c r="J230" s="179">
        <v>112.182</v>
      </c>
      <c r="K230" s="177" t="d">
        <v>2021-09-28T17:20:59.99999991618096825</v>
      </c>
      <c r="L230" s="179">
        <v>111.38</v>
      </c>
      <c r="M230" s="181">
        <f t="shared" si="59"/>
        <v>0.27500000000000002</v>
      </c>
      <c r="N230" s="182">
        <f t="shared" si="60"/>
        <v>1.61</v>
      </c>
      <c r="O230" s="183">
        <f t="shared" si="61"/>
        <v>0</v>
      </c>
      <c r="P230" s="184">
        <f t="shared" si="62"/>
        <v>1.61</v>
      </c>
      <c r="Q230" s="184">
        <f t="shared" si="63"/>
        <v>0</v>
      </c>
      <c r="R23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49252.5</v>
      </c>
      <c r="T23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30" s="186">
        <f ca="1">IF(Tabla33610673[[#This Row],[Equity]]&lt;Tabla33610673[[#This Row],[Equity Peak]],(Tabla33610673[[#This Row],[Equity Peak]]-Tabla33610673[[#This Row],[Equity]])/Tabla33610673[[#This Row],[Equity Peak]],"")</f>
        <v>2.0338140228741919E-2</v>
      </c>
      <c r="V230" s="187">
        <f t="shared" si="64"/>
        <v>1.61</v>
      </c>
      <c r="W230" s="187">
        <f t="shared" si="65"/>
        <v>0</v>
      </c>
      <c r="X230" s="187">
        <f t="shared" si="66"/>
        <v>0</v>
      </c>
      <c r="Y230" s="187">
        <f t="shared" si="67"/>
        <v>0</v>
      </c>
      <c r="Z230" s="187">
        <f t="shared" si="68"/>
        <v>0</v>
      </c>
      <c r="AA230" s="183">
        <f t="shared" si="69"/>
        <v>0</v>
      </c>
      <c r="AB230" s="187">
        <f t="shared" si="70"/>
        <v>0</v>
      </c>
      <c r="AC230" s="183">
        <f t="shared" si="71"/>
        <v>0</v>
      </c>
      <c r="AD230" s="188">
        <f t="shared" si="72"/>
        <v>0.53541666666569654</v>
      </c>
      <c r="AE230" s="188">
        <f t="shared" si="73"/>
        <v>0.53541666666569654</v>
      </c>
      <c r="AF230" s="188">
        <f t="shared" si="74"/>
        <v>0</v>
      </c>
      <c r="AG230" s="188">
        <f t="shared" si="75"/>
        <v>0</v>
      </c>
    </row>
    <row r="231" spans="2:33" ht="15" customHeight="1" x14ac:dyDescent="0.15">
      <c r="B231" s="174" t="s">
        <v>5</v>
      </c>
      <c r="C231" s="175" t="s">
        <v>13</v>
      </c>
      <c r="D231" s="176" t="str">
        <f t="shared" si="57"/>
        <v>C</v>
      </c>
      <c r="E231" s="177" t="d">
        <v>2021-09-28T09:59:59.99999979045242400</v>
      </c>
      <c r="F231" s="178" t="s">
        <v>81</v>
      </c>
      <c r="G231" s="179">
        <v>15077.89</v>
      </c>
      <c r="H231" s="179">
        <v>15137.94</v>
      </c>
      <c r="I231" s="180">
        <f t="shared" si="58"/>
        <v>60.050000000001091</v>
      </c>
      <c r="J231" s="179">
        <v>14717.61</v>
      </c>
      <c r="K231" s="177" t="d">
        <v>2021-09-28T16:09:00.00000029336660775</v>
      </c>
      <c r="L231" s="179">
        <v>15009.32</v>
      </c>
      <c r="M231" s="181">
        <f t="shared" si="59"/>
        <v>68.569999999999993</v>
      </c>
      <c r="N231" s="182">
        <f t="shared" si="60"/>
        <v>1.1399999999999999</v>
      </c>
      <c r="O231" s="183">
        <f t="shared" si="61"/>
        <v>0</v>
      </c>
      <c r="P231" s="184">
        <f t="shared" si="62"/>
        <v>1.1399999999999999</v>
      </c>
      <c r="Q231" s="184">
        <f t="shared" si="63"/>
        <v>0</v>
      </c>
      <c r="R23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48850</v>
      </c>
      <c r="T23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31" s="186">
        <f ca="1">IF(Tabla33610673[[#This Row],[Equity]]&lt;Tabla33610673[[#This Row],[Equity Peak]],(Tabla33610673[[#This Row],[Equity Peak]]-Tabla33610673[[#This Row],[Equity]])/Tabla33610673[[#This Row],[Equity Peak]],"")</f>
        <v>2.8344107409249131E-2</v>
      </c>
      <c r="V231" s="187">
        <f t="shared" si="64"/>
        <v>0</v>
      </c>
      <c r="W231" s="187">
        <f t="shared" si="65"/>
        <v>0</v>
      </c>
      <c r="X231" s="187">
        <f t="shared" si="66"/>
        <v>0</v>
      </c>
      <c r="Y231" s="187">
        <f t="shared" si="67"/>
        <v>0</v>
      </c>
      <c r="Z231" s="187">
        <f t="shared" si="68"/>
        <v>1.1399999999999999</v>
      </c>
      <c r="AA231" s="183">
        <f t="shared" si="69"/>
        <v>0</v>
      </c>
      <c r="AB231" s="187">
        <f t="shared" si="70"/>
        <v>0</v>
      </c>
      <c r="AC231" s="183">
        <f t="shared" si="71"/>
        <v>0</v>
      </c>
      <c r="AD231" s="188">
        <f t="shared" si="72"/>
        <v>0.25625000000582077</v>
      </c>
      <c r="AE231" s="188">
        <f t="shared" si="73"/>
        <v>0.25625000000582077</v>
      </c>
      <c r="AF231" s="188">
        <f t="shared" si="74"/>
        <v>0</v>
      </c>
      <c r="AG231" s="188">
        <f t="shared" si="75"/>
        <v>0</v>
      </c>
    </row>
    <row r="232" spans="2:33" ht="15" customHeight="1" x14ac:dyDescent="0.15">
      <c r="B232" s="174" t="s">
        <v>7</v>
      </c>
      <c r="C232" s="175" t="s">
        <v>15</v>
      </c>
      <c r="D232" s="176" t="str">
        <f t="shared" si="57"/>
        <v>C</v>
      </c>
      <c r="E232" s="177" t="d">
        <v>2021-09-27T11:29:59.99999979045242400</v>
      </c>
      <c r="F232" s="178" t="s">
        <v>102</v>
      </c>
      <c r="G232" s="179">
        <v>151.833</v>
      </c>
      <c r="H232" s="179">
        <v>151.524</v>
      </c>
      <c r="I232" s="180">
        <f t="shared" si="58"/>
        <v>0.3089999999999975</v>
      </c>
      <c r="J232" s="179">
        <v>153.482</v>
      </c>
      <c r="K232" s="177" t="d">
        <v>2021-09-28T10:37:00.00000011175870900</v>
      </c>
      <c r="L232" s="179">
        <v>152.13999999999999</v>
      </c>
      <c r="M232" s="181">
        <f t="shared" si="59"/>
        <v>0.307</v>
      </c>
      <c r="N232" s="182">
        <f t="shared" si="60"/>
        <v>0.99</v>
      </c>
      <c r="O232" s="183">
        <f t="shared" si="61"/>
        <v>0</v>
      </c>
      <c r="P232" s="184">
        <f t="shared" si="62"/>
        <v>0.99</v>
      </c>
      <c r="Q232" s="184">
        <f t="shared" si="63"/>
        <v>0</v>
      </c>
      <c r="R23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48565</v>
      </c>
      <c r="T23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32" s="186">
        <f ca="1">IF(Tabla33610673[[#This Row],[Equity]]&lt;Tabla33610673[[#This Row],[Equity Peak]],(Tabla33610673[[#This Row],[Equity Peak]]-Tabla33610673[[#This Row],[Equity]])/Tabla33610673[[#This Row],[Equity Peak]],"")</f>
        <v>3.4012928891098956E-2</v>
      </c>
      <c r="V232" s="187">
        <f t="shared" si="64"/>
        <v>0.99</v>
      </c>
      <c r="W232" s="187">
        <f t="shared" si="65"/>
        <v>0</v>
      </c>
      <c r="X232" s="187">
        <f t="shared" si="66"/>
        <v>0</v>
      </c>
      <c r="Y232" s="187">
        <f t="shared" si="67"/>
        <v>0</v>
      </c>
      <c r="Z232" s="187">
        <f t="shared" si="68"/>
        <v>0</v>
      </c>
      <c r="AA232" s="183">
        <f t="shared" si="69"/>
        <v>0</v>
      </c>
      <c r="AB232" s="187">
        <f t="shared" si="70"/>
        <v>0</v>
      </c>
      <c r="AC232" s="183">
        <f t="shared" si="71"/>
        <v>0</v>
      </c>
      <c r="AD232" s="188">
        <f t="shared" si="72"/>
        <v>0.96319444444816327</v>
      </c>
      <c r="AE232" s="188">
        <f t="shared" si="73"/>
        <v>0.96319444444816327</v>
      </c>
      <c r="AF232" s="188">
        <f t="shared" si="74"/>
        <v>0</v>
      </c>
      <c r="AG232" s="188">
        <f t="shared" si="75"/>
        <v>0</v>
      </c>
    </row>
    <row r="233" spans="2:33" ht="15" customHeight="1" x14ac:dyDescent="0.15">
      <c r="B233" s="174" t="s">
        <v>5</v>
      </c>
      <c r="C233" s="175" t="s">
        <v>13</v>
      </c>
      <c r="D233" s="176" t="str">
        <f t="shared" si="57"/>
        <v>C</v>
      </c>
      <c r="E233" s="177" t="d">
        <v>2021-09-27T16:44:59.99999979045242400</v>
      </c>
      <c r="F233" s="178" t="s">
        <v>81</v>
      </c>
      <c r="G233" s="179">
        <v>15116.34</v>
      </c>
      <c r="H233" s="179">
        <v>15174.03</v>
      </c>
      <c r="I233" s="180">
        <f t="shared" si="58"/>
        <v>57.690000000000509</v>
      </c>
      <c r="J233" s="179">
        <v>14770.23</v>
      </c>
      <c r="K233" s="177" t="d">
        <v>2021-09-27T17:23:00.00000030733644975</v>
      </c>
      <c r="L233" s="179">
        <v>15174.03</v>
      </c>
      <c r="M233" s="181">
        <f t="shared" si="59"/>
        <v>-57.69</v>
      </c>
      <c r="N233" s="182">
        <f t="shared" si="60"/>
        <v>-1</v>
      </c>
      <c r="O233" s="183">
        <f t="shared" si="61"/>
        <v>0</v>
      </c>
      <c r="P233" s="184">
        <f t="shared" si="62"/>
        <v>0</v>
      </c>
      <c r="Q233" s="184">
        <f t="shared" si="63"/>
        <v>-1</v>
      </c>
      <c r="R23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48317.5</v>
      </c>
      <c r="T23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33" s="186">
        <f ca="1">IF(Tabla33610673[[#This Row],[Equity]]&lt;Tabla33610673[[#This Row],[Equity Peak]],(Tabla33610673[[#This Row],[Equity Peak]]-Tabla33610673[[#This Row],[Equity]])/Tabla33610673[[#This Row],[Equity Peak]],"")</f>
        <v>3.8935852809547492E-2</v>
      </c>
      <c r="V233" s="187">
        <f t="shared" si="64"/>
        <v>0</v>
      </c>
      <c r="W233" s="187">
        <f t="shared" si="65"/>
        <v>0</v>
      </c>
      <c r="X233" s="187">
        <f t="shared" si="66"/>
        <v>0</v>
      </c>
      <c r="Y233" s="187">
        <f t="shared" si="67"/>
        <v>0</v>
      </c>
      <c r="Z233" s="187">
        <f t="shared" si="68"/>
        <v>-1</v>
      </c>
      <c r="AA233" s="183">
        <f t="shared" si="69"/>
        <v>0</v>
      </c>
      <c r="AB233" s="187">
        <f t="shared" si="70"/>
        <v>0</v>
      </c>
      <c r="AC233" s="183">
        <f t="shared" si="71"/>
        <v>0</v>
      </c>
      <c r="AD233" s="188">
        <f t="shared" si="72"/>
        <v>2.6388888894871343E-2</v>
      </c>
      <c r="AE233" s="188">
        <f t="shared" si="73"/>
        <v>0</v>
      </c>
      <c r="AF233" s="188">
        <f t="shared" si="74"/>
        <v>2.6388888894871343E-2</v>
      </c>
      <c r="AG233" s="188">
        <f t="shared" si="75"/>
        <v>0</v>
      </c>
    </row>
    <row r="234" spans="2:33" ht="15" customHeight="1" x14ac:dyDescent="0.15">
      <c r="B234" s="174" t="s">
        <v>7</v>
      </c>
      <c r="C234" s="175" t="s">
        <v>15</v>
      </c>
      <c r="D234" s="176" t="str">
        <f t="shared" si="57"/>
        <v>C</v>
      </c>
      <c r="E234" s="177" t="d">
        <v>2021-09-27T11:29:59.99999979045242400</v>
      </c>
      <c r="F234" s="178" t="s">
        <v>103</v>
      </c>
      <c r="G234" s="179">
        <v>110.875</v>
      </c>
      <c r="H234" s="179">
        <v>110.709</v>
      </c>
      <c r="I234" s="180">
        <f t="shared" si="58"/>
        <v>0.16599999999999682</v>
      </c>
      <c r="J234" s="179">
        <v>111.91800000000001</v>
      </c>
      <c r="K234" s="177" t="d">
        <v>2021-09-27T15:47:59.9999999580904875</v>
      </c>
      <c r="L234" s="179">
        <v>110.81399999999999</v>
      </c>
      <c r="M234" s="181">
        <f t="shared" si="59"/>
        <v>-6.0999999999999999E-2</v>
      </c>
      <c r="N234" s="182">
        <f t="shared" si="60"/>
        <v>-0.37</v>
      </c>
      <c r="O234" s="183">
        <f t="shared" si="61"/>
        <v>0</v>
      </c>
      <c r="P234" s="184">
        <f t="shared" si="62"/>
        <v>0</v>
      </c>
      <c r="Q234" s="184">
        <f t="shared" si="63"/>
        <v>-0.37</v>
      </c>
      <c r="R23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48567.5</v>
      </c>
      <c r="T23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34" s="186">
        <f ca="1">IF(Tabla33610673[[#This Row],[Equity]]&lt;Tabla33610673[[#This Row],[Equity Peak]],(Tabla33610673[[#This Row],[Equity Peak]]-Tabla33610673[[#This Row],[Equity]])/Tabla33610673[[#This Row],[Equity Peak]],"")</f>
        <v>3.3963202386872206E-2</v>
      </c>
      <c r="V234" s="187">
        <f t="shared" si="64"/>
        <v>-0.37</v>
      </c>
      <c r="W234" s="187">
        <f t="shared" si="65"/>
        <v>0</v>
      </c>
      <c r="X234" s="187">
        <f t="shared" si="66"/>
        <v>0</v>
      </c>
      <c r="Y234" s="187">
        <f t="shared" si="67"/>
        <v>0</v>
      </c>
      <c r="Z234" s="187">
        <f t="shared" si="68"/>
        <v>0</v>
      </c>
      <c r="AA234" s="183">
        <f t="shared" si="69"/>
        <v>0</v>
      </c>
      <c r="AB234" s="187">
        <f t="shared" si="70"/>
        <v>0</v>
      </c>
      <c r="AC234" s="183">
        <f t="shared" si="71"/>
        <v>0</v>
      </c>
      <c r="AD234" s="188">
        <f t="shared" si="72"/>
        <v>0.17916666666860692</v>
      </c>
      <c r="AE234" s="188">
        <f t="shared" si="73"/>
        <v>0</v>
      </c>
      <c r="AF234" s="188">
        <f t="shared" si="74"/>
        <v>0.17916666666860692</v>
      </c>
      <c r="AG234" s="188">
        <f t="shared" si="75"/>
        <v>0</v>
      </c>
    </row>
    <row r="235" spans="2:33" ht="15" customHeight="1" x14ac:dyDescent="0.15">
      <c r="B235" s="174" t="s">
        <v>5</v>
      </c>
      <c r="C235" s="175" t="s">
        <v>15</v>
      </c>
      <c r="D235" s="176" t="str">
        <f t="shared" si="57"/>
        <v>C</v>
      </c>
      <c r="E235" s="177" t="d">
        <v>2021-09-24T21:59:59.99999979045242400</v>
      </c>
      <c r="F235" s="178" t="s">
        <v>82</v>
      </c>
      <c r="G235" s="179">
        <v>4455.01</v>
      </c>
      <c r="H235" s="179">
        <v>4429.92</v>
      </c>
      <c r="I235" s="180">
        <f t="shared" si="58"/>
        <v>25.090000000000146</v>
      </c>
      <c r="J235" s="179">
        <v>4618.12</v>
      </c>
      <c r="K235" s="177" t="d">
        <v>2021-09-27T13:02:59.99999974854290475</v>
      </c>
      <c r="L235" s="179">
        <v>4455.6499999999996</v>
      </c>
      <c r="M235" s="181">
        <f t="shared" si="59"/>
        <v>0.64</v>
      </c>
      <c r="N235" s="182">
        <f t="shared" si="60"/>
        <v>0.03</v>
      </c>
      <c r="O235" s="183">
        <f t="shared" si="61"/>
        <v>0</v>
      </c>
      <c r="P235" s="184">
        <f t="shared" si="62"/>
        <v>0.03</v>
      </c>
      <c r="Q235" s="184">
        <f t="shared" si="63"/>
        <v>0</v>
      </c>
      <c r="R23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48660</v>
      </c>
      <c r="T23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35" s="186">
        <f ca="1">IF(Tabla33610673[[#This Row],[Equity]]&lt;Tabla33610673[[#This Row],[Equity Peak]],(Tabla33610673[[#This Row],[Equity Peak]]-Tabla33610673[[#This Row],[Equity]])/Tabla33610673[[#This Row],[Equity Peak]],"")</f>
        <v>3.2123321730482345E-2</v>
      </c>
      <c r="V235" s="187">
        <f t="shared" si="64"/>
        <v>0</v>
      </c>
      <c r="W235" s="187">
        <f t="shared" si="65"/>
        <v>0</v>
      </c>
      <c r="X235" s="187">
        <f t="shared" si="66"/>
        <v>0</v>
      </c>
      <c r="Y235" s="187">
        <f t="shared" si="67"/>
        <v>0</v>
      </c>
      <c r="Z235" s="187">
        <f t="shared" si="68"/>
        <v>0.03</v>
      </c>
      <c r="AA235" s="183">
        <f t="shared" si="69"/>
        <v>0</v>
      </c>
      <c r="AB235" s="187">
        <f t="shared" si="70"/>
        <v>0</v>
      </c>
      <c r="AC235" s="183">
        <f t="shared" si="71"/>
        <v>0</v>
      </c>
      <c r="AD235" s="188">
        <f t="shared" si="72"/>
        <v>2.6270833333328483</v>
      </c>
      <c r="AE235" s="188">
        <f t="shared" si="73"/>
        <v>2.6270833333328483</v>
      </c>
      <c r="AF235" s="188">
        <f t="shared" si="74"/>
        <v>0</v>
      </c>
      <c r="AG235" s="188">
        <f t="shared" si="75"/>
        <v>0</v>
      </c>
    </row>
    <row r="236" spans="2:33" ht="15" customHeight="1" x14ac:dyDescent="0.15">
      <c r="B236" s="174" t="s">
        <v>5</v>
      </c>
      <c r="C236" s="175" t="s">
        <v>15</v>
      </c>
      <c r="D236" s="176" t="str">
        <f t="shared" si="57"/>
        <v>C</v>
      </c>
      <c r="E236" s="177" t="d">
        <v>2021-09-27T03:14:59.99999979045242400</v>
      </c>
      <c r="F236" s="178" t="s">
        <v>81</v>
      </c>
      <c r="G236" s="179">
        <v>15362.17</v>
      </c>
      <c r="H236" s="179">
        <v>15306.61</v>
      </c>
      <c r="I236" s="180">
        <f t="shared" si="58"/>
        <v>55.559999999999491</v>
      </c>
      <c r="J236" s="179">
        <v>15695.54</v>
      </c>
      <c r="K236" s="177" t="d">
        <v>2021-09-27T12:30:00.00000020954757600</v>
      </c>
      <c r="L236" s="179">
        <v>15317.56</v>
      </c>
      <c r="M236" s="181">
        <f t="shared" si="59"/>
        <v>-44.61</v>
      </c>
      <c r="N236" s="182">
        <f t="shared" si="60"/>
        <v>-0.8</v>
      </c>
      <c r="O236" s="183">
        <f t="shared" si="61"/>
        <v>0</v>
      </c>
      <c r="P236" s="184">
        <f t="shared" si="62"/>
        <v>0</v>
      </c>
      <c r="Q236" s="184">
        <f t="shared" si="63"/>
        <v>-0.8</v>
      </c>
      <c r="R23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48652.5</v>
      </c>
      <c r="T23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36" s="186">
        <f ca="1">IF(Tabla33610673[[#This Row],[Equity]]&lt;Tabla33610673[[#This Row],[Equity Peak]],(Tabla33610673[[#This Row],[Equity Peak]]-Tabla33610673[[#This Row],[Equity]])/Tabla33610673[[#This Row],[Equity Peak]],"")</f>
        <v>3.2272501243162603E-2</v>
      </c>
      <c r="V236" s="187">
        <f t="shared" si="64"/>
        <v>0</v>
      </c>
      <c r="W236" s="187">
        <f t="shared" si="65"/>
        <v>0</v>
      </c>
      <c r="X236" s="187">
        <f t="shared" si="66"/>
        <v>0</v>
      </c>
      <c r="Y236" s="187">
        <f t="shared" si="67"/>
        <v>0</v>
      </c>
      <c r="Z236" s="187">
        <f t="shared" si="68"/>
        <v>-0.8</v>
      </c>
      <c r="AA236" s="183">
        <f t="shared" si="69"/>
        <v>0</v>
      </c>
      <c r="AB236" s="187">
        <f t="shared" si="70"/>
        <v>0</v>
      </c>
      <c r="AC236" s="183">
        <f t="shared" si="71"/>
        <v>0</v>
      </c>
      <c r="AD236" s="188">
        <f t="shared" si="72"/>
        <v>0.38541666667151731</v>
      </c>
      <c r="AE236" s="188">
        <f t="shared" si="73"/>
        <v>0</v>
      </c>
      <c r="AF236" s="188">
        <f t="shared" si="74"/>
        <v>0.38541666667151731</v>
      </c>
      <c r="AG236" s="188">
        <f t="shared" si="75"/>
        <v>0</v>
      </c>
    </row>
    <row r="237" spans="2:33" ht="15" customHeight="1" x14ac:dyDescent="0.15">
      <c r="B237" s="174" t="s">
        <v>19</v>
      </c>
      <c r="C237" s="175" t="s">
        <v>15</v>
      </c>
      <c r="D237" s="176" t="str">
        <f t="shared" si="57"/>
        <v>C</v>
      </c>
      <c r="E237" s="177" t="d">
        <v>2021-09-27T04:15:00.00000020954757600</v>
      </c>
      <c r="F237" s="178" t="s">
        <v>77</v>
      </c>
      <c r="G237" s="179">
        <v>1756.21</v>
      </c>
      <c r="H237" s="179">
        <v>1751.23</v>
      </c>
      <c r="I237" s="180">
        <f t="shared" si="58"/>
        <v>4.9800000000000182</v>
      </c>
      <c r="J237" s="179">
        <v>1780.1</v>
      </c>
      <c r="K237" s="177" t="d">
        <v>2021-09-27T11:23:59.99999987427145575</v>
      </c>
      <c r="L237" s="179">
        <v>1751.23</v>
      </c>
      <c r="M237" s="181">
        <f t="shared" si="59"/>
        <v>-4.9800000000000004</v>
      </c>
      <c r="N237" s="182">
        <f t="shared" si="60"/>
        <v>-1</v>
      </c>
      <c r="O237" s="183">
        <f t="shared" si="61"/>
        <v>0</v>
      </c>
      <c r="P237" s="184">
        <f t="shared" si="62"/>
        <v>0</v>
      </c>
      <c r="Q237" s="184">
        <f t="shared" si="63"/>
        <v>-1</v>
      </c>
      <c r="R23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48852.5</v>
      </c>
      <c r="T23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37" s="186">
        <f ca="1">IF(Tabla33610673[[#This Row],[Equity]]&lt;Tabla33610673[[#This Row],[Equity Peak]],(Tabla33610673[[#This Row],[Equity Peak]]-Tabla33610673[[#This Row],[Equity]])/Tabla33610673[[#This Row],[Equity Peak]],"")</f>
        <v>2.8294380905022377E-2</v>
      </c>
      <c r="V237" s="187">
        <f t="shared" si="64"/>
        <v>0</v>
      </c>
      <c r="W237" s="187">
        <f t="shared" si="65"/>
        <v>0</v>
      </c>
      <c r="X237" s="187">
        <f t="shared" si="66"/>
        <v>-1</v>
      </c>
      <c r="Y237" s="187">
        <f t="shared" si="67"/>
        <v>0</v>
      </c>
      <c r="Z237" s="187">
        <f t="shared" si="68"/>
        <v>0</v>
      </c>
      <c r="AA237" s="183">
        <f t="shared" si="69"/>
        <v>0</v>
      </c>
      <c r="AB237" s="187">
        <f t="shared" si="70"/>
        <v>0</v>
      </c>
      <c r="AC237" s="183">
        <f t="shared" si="71"/>
        <v>0</v>
      </c>
      <c r="AD237" s="188">
        <f t="shared" si="72"/>
        <v>0.29791666666278616</v>
      </c>
      <c r="AE237" s="188">
        <f t="shared" si="73"/>
        <v>0</v>
      </c>
      <c r="AF237" s="188">
        <f t="shared" si="74"/>
        <v>0.29791666666278616</v>
      </c>
      <c r="AG237" s="188">
        <f t="shared" si="75"/>
        <v>0</v>
      </c>
    </row>
    <row r="238" spans="2:33" ht="15" customHeight="1" x14ac:dyDescent="0.15">
      <c r="B238" s="174" t="s">
        <v>7</v>
      </c>
      <c r="C238" s="175" t="s">
        <v>15</v>
      </c>
      <c r="D238" s="176" t="str">
        <f t="shared" si="57"/>
        <v>C</v>
      </c>
      <c r="E238" s="177" t="d">
        <v>2021-09-24T16:15:00.00000020954757600</v>
      </c>
      <c r="F238" s="178" t="s">
        <v>103</v>
      </c>
      <c r="G238" s="179">
        <v>110.59099999999999</v>
      </c>
      <c r="H238" s="179">
        <v>110.423</v>
      </c>
      <c r="I238" s="180">
        <f t="shared" si="58"/>
        <v>0.16799999999999216</v>
      </c>
      <c r="J238" s="179">
        <v>111.64700000000001</v>
      </c>
      <c r="K238" s="177" t="d">
        <v>2021-09-27T00:04:00.00000015366822150</v>
      </c>
      <c r="L238" s="179">
        <v>110.575</v>
      </c>
      <c r="M238" s="181">
        <f t="shared" si="59"/>
        <v>-1.6E-2</v>
      </c>
      <c r="N238" s="182">
        <f t="shared" si="60"/>
        <v>-0.1</v>
      </c>
      <c r="O238" s="183">
        <f t="shared" si="61"/>
        <v>0</v>
      </c>
      <c r="P238" s="184">
        <f t="shared" si="62"/>
        <v>0</v>
      </c>
      <c r="Q238" s="184">
        <f t="shared" si="63"/>
        <v>-0.1</v>
      </c>
      <c r="R23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49102.5</v>
      </c>
      <c r="T23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38" s="186">
        <f ca="1">IF(Tabla33610673[[#This Row],[Equity]]&lt;Tabla33610673[[#This Row],[Equity Peak]],(Tabla33610673[[#This Row],[Equity Peak]]-Tabla33610673[[#This Row],[Equity]])/Tabla33610673[[#This Row],[Equity Peak]],"")</f>
        <v>2.3321730482347092E-2</v>
      </c>
      <c r="V238" s="187">
        <f t="shared" si="64"/>
        <v>-0.1</v>
      </c>
      <c r="W238" s="187">
        <f t="shared" si="65"/>
        <v>0</v>
      </c>
      <c r="X238" s="187">
        <f t="shared" si="66"/>
        <v>0</v>
      </c>
      <c r="Y238" s="187">
        <f t="shared" si="67"/>
        <v>0</v>
      </c>
      <c r="Z238" s="187">
        <f t="shared" si="68"/>
        <v>0</v>
      </c>
      <c r="AA238" s="183">
        <f t="shared" si="69"/>
        <v>0</v>
      </c>
      <c r="AB238" s="187">
        <f t="shared" si="70"/>
        <v>0</v>
      </c>
      <c r="AC238" s="183">
        <f t="shared" si="71"/>
        <v>0</v>
      </c>
      <c r="AD238" s="188">
        <f t="shared" si="72"/>
        <v>2.3256944444437977</v>
      </c>
      <c r="AE238" s="188">
        <f t="shared" si="73"/>
        <v>0</v>
      </c>
      <c r="AF238" s="188">
        <f t="shared" si="74"/>
        <v>2.3256944444437977</v>
      </c>
      <c r="AG238" s="188">
        <f t="shared" si="75"/>
        <v>0</v>
      </c>
    </row>
    <row r="239" spans="2:33" ht="15" customHeight="1" x14ac:dyDescent="0.15">
      <c r="B239" s="174" t="s">
        <v>5</v>
      </c>
      <c r="C239" s="175" t="s">
        <v>13</v>
      </c>
      <c r="D239" s="176" t="str">
        <f t="shared" si="57"/>
        <v>C</v>
      </c>
      <c r="E239" s="177" t="d">
        <v>2021-09-24T15:14:59.99999979045242400</v>
      </c>
      <c r="F239" s="178" t="s">
        <v>82</v>
      </c>
      <c r="G239" s="179">
        <v>4421.54</v>
      </c>
      <c r="H239" s="179">
        <v>4446.09</v>
      </c>
      <c r="I239" s="180">
        <f t="shared" si="58"/>
        <v>24.550000000000182</v>
      </c>
      <c r="J239" s="179">
        <v>4261.9799999999996</v>
      </c>
      <c r="K239" s="177" t="d">
        <v>2021-09-24T16:38:59.99999987427145575</v>
      </c>
      <c r="L239" s="179">
        <v>4445.88</v>
      </c>
      <c r="M239" s="181">
        <f t="shared" si="59"/>
        <v>-24.34</v>
      </c>
      <c r="N239" s="182">
        <f t="shared" si="60"/>
        <v>-0.99</v>
      </c>
      <c r="O239" s="183">
        <f t="shared" si="61"/>
        <v>0</v>
      </c>
      <c r="P239" s="184">
        <f t="shared" si="62"/>
        <v>0</v>
      </c>
      <c r="Q239" s="184">
        <f t="shared" si="63"/>
        <v>-0.99</v>
      </c>
      <c r="R23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49127.5</v>
      </c>
      <c r="T23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39" s="186">
        <f ca="1">IF(Tabla33610673[[#This Row],[Equity]]&lt;Tabla33610673[[#This Row],[Equity Peak]],(Tabla33610673[[#This Row],[Equity Peak]]-Tabla33610673[[#This Row],[Equity]])/Tabla33610673[[#This Row],[Equity Peak]],"")</f>
        <v>2.2824465440079562E-2</v>
      </c>
      <c r="V239" s="187">
        <f t="shared" si="64"/>
        <v>0</v>
      </c>
      <c r="W239" s="187">
        <f t="shared" si="65"/>
        <v>0</v>
      </c>
      <c r="X239" s="187">
        <f t="shared" si="66"/>
        <v>0</v>
      </c>
      <c r="Y239" s="187">
        <f t="shared" si="67"/>
        <v>0</v>
      </c>
      <c r="Z239" s="187">
        <f t="shared" si="68"/>
        <v>-0.99</v>
      </c>
      <c r="AA239" s="183">
        <f t="shared" si="69"/>
        <v>0</v>
      </c>
      <c r="AB239" s="187">
        <f t="shared" si="70"/>
        <v>0</v>
      </c>
      <c r="AC239" s="183">
        <f t="shared" si="71"/>
        <v>0</v>
      </c>
      <c r="AD239" s="188">
        <f t="shared" si="72"/>
        <v>5.8333333334303461E-2</v>
      </c>
      <c r="AE239" s="188">
        <f t="shared" si="73"/>
        <v>0</v>
      </c>
      <c r="AF239" s="188">
        <f t="shared" si="74"/>
        <v>5.8333333334303461E-2</v>
      </c>
      <c r="AG239" s="188">
        <f t="shared" si="75"/>
        <v>0</v>
      </c>
    </row>
    <row r="240" spans="2:33" ht="15" customHeight="1" x14ac:dyDescent="0.15">
      <c r="B240" s="174" t="s">
        <v>19</v>
      </c>
      <c r="C240" s="175" t="s">
        <v>15</v>
      </c>
      <c r="D240" s="176" t="str">
        <f t="shared" si="57"/>
        <v>C</v>
      </c>
      <c r="E240" s="177" t="d">
        <v>2021-09-24T08:45:00.00000020954757600</v>
      </c>
      <c r="F240" s="178" t="s">
        <v>77</v>
      </c>
      <c r="G240" s="179">
        <v>1754.25</v>
      </c>
      <c r="H240" s="179">
        <v>1749.19</v>
      </c>
      <c r="I240" s="180">
        <f t="shared" si="58"/>
        <v>5.0599999999999454</v>
      </c>
      <c r="J240" s="179">
        <v>1778.56</v>
      </c>
      <c r="K240" s="177" t="d">
        <v>2021-09-24T15:02:59.9999999580904875</v>
      </c>
      <c r="L240" s="179">
        <v>1749.19</v>
      </c>
      <c r="M240" s="181">
        <f t="shared" si="59"/>
        <v>-5.0599999999999996</v>
      </c>
      <c r="N240" s="182">
        <f t="shared" si="60"/>
        <v>-1</v>
      </c>
      <c r="O240" s="183">
        <f t="shared" si="61"/>
        <v>0</v>
      </c>
      <c r="P240" s="184">
        <f t="shared" si="62"/>
        <v>0</v>
      </c>
      <c r="Q240" s="184">
        <f t="shared" si="63"/>
        <v>-1</v>
      </c>
      <c r="R24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49375</v>
      </c>
      <c r="T24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40" s="186">
        <f ca="1">IF(Tabla33610673[[#This Row],[Equity]]&lt;Tabla33610673[[#This Row],[Equity Peak]],(Tabla33610673[[#This Row],[Equity Peak]]-Tabla33610673[[#This Row],[Equity]])/Tabla33610673[[#This Row],[Equity Peak]],"")</f>
        <v>1.790154152163103E-2</v>
      </c>
      <c r="V240" s="187">
        <f t="shared" si="64"/>
        <v>0</v>
      </c>
      <c r="W240" s="187">
        <f t="shared" si="65"/>
        <v>0</v>
      </c>
      <c r="X240" s="187">
        <f t="shared" si="66"/>
        <v>-1</v>
      </c>
      <c r="Y240" s="187">
        <f t="shared" si="67"/>
        <v>0</v>
      </c>
      <c r="Z240" s="187">
        <f t="shared" si="68"/>
        <v>0</v>
      </c>
      <c r="AA240" s="183">
        <f t="shared" si="69"/>
        <v>0</v>
      </c>
      <c r="AB240" s="187">
        <f t="shared" si="70"/>
        <v>0</v>
      </c>
      <c r="AC240" s="183">
        <f t="shared" si="71"/>
        <v>0</v>
      </c>
      <c r="AD240" s="188">
        <f t="shared" si="72"/>
        <v>0.26249999999708962</v>
      </c>
      <c r="AE240" s="188">
        <f t="shared" si="73"/>
        <v>0</v>
      </c>
      <c r="AF240" s="188">
        <f t="shared" si="74"/>
        <v>0.26249999999708962</v>
      </c>
      <c r="AG240" s="188">
        <f t="shared" si="75"/>
        <v>0</v>
      </c>
    </row>
    <row r="241" spans="2:33" ht="15" customHeight="1" x14ac:dyDescent="0.15">
      <c r="B241" s="174" t="s">
        <v>7</v>
      </c>
      <c r="C241" s="175" t="s">
        <v>15</v>
      </c>
      <c r="D241" s="176" t="str">
        <f t="shared" si="57"/>
        <v>C</v>
      </c>
      <c r="E241" s="177" t="d">
        <v>2021-09-23T14:15:00.000</v>
      </c>
      <c r="F241" s="178" t="s">
        <v>102</v>
      </c>
      <c r="G241" s="179">
        <v>150.53899999999999</v>
      </c>
      <c r="H241" s="179">
        <v>150.19900000000001</v>
      </c>
      <c r="I241" s="180">
        <f t="shared" si="58"/>
        <v>0.33999999999997499</v>
      </c>
      <c r="J241" s="179">
        <v>152.352</v>
      </c>
      <c r="K241" s="177" t="d">
        <v>2021-09-24T11:12:00.0000000419095125</v>
      </c>
      <c r="L241" s="179">
        <v>151.286</v>
      </c>
      <c r="M241" s="181">
        <f t="shared" si="59"/>
        <v>0.747</v>
      </c>
      <c r="N241" s="182">
        <f t="shared" si="60"/>
        <v>2.2000000000000002</v>
      </c>
      <c r="O241" s="183">
        <f t="shared" si="61"/>
        <v>0</v>
      </c>
      <c r="P241" s="184">
        <f t="shared" si="62"/>
        <v>2.2000000000000002</v>
      </c>
      <c r="Q241" s="184">
        <f t="shared" si="63"/>
        <v>0</v>
      </c>
      <c r="R24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49625</v>
      </c>
      <c r="T24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41" s="186">
        <f ca="1">IF(Tabla33610673[[#This Row],[Equity]]&lt;Tabla33610673[[#This Row],[Equity Peak]],(Tabla33610673[[#This Row],[Equity Peak]]-Tabla33610673[[#This Row],[Equity]])/Tabla33610673[[#This Row],[Equity Peak]],"")</f>
        <v>1.2928891098955743E-2</v>
      </c>
      <c r="V241" s="187">
        <f t="shared" si="64"/>
        <v>2.2000000000000002</v>
      </c>
      <c r="W241" s="187">
        <f t="shared" si="65"/>
        <v>0</v>
      </c>
      <c r="X241" s="187">
        <f t="shared" si="66"/>
        <v>0</v>
      </c>
      <c r="Y241" s="187">
        <f t="shared" si="67"/>
        <v>0</v>
      </c>
      <c r="Z241" s="187">
        <f t="shared" si="68"/>
        <v>0</v>
      </c>
      <c r="AA241" s="183">
        <f t="shared" si="69"/>
        <v>0</v>
      </c>
      <c r="AB241" s="187">
        <f t="shared" si="70"/>
        <v>0</v>
      </c>
      <c r="AC241" s="183">
        <f t="shared" si="71"/>
        <v>0</v>
      </c>
      <c r="AD241" s="188">
        <f t="shared" si="72"/>
        <v>0.87291666666715173</v>
      </c>
      <c r="AE241" s="188">
        <f t="shared" si="73"/>
        <v>0.87291666666715173</v>
      </c>
      <c r="AF241" s="188">
        <f t="shared" si="74"/>
        <v>0</v>
      </c>
      <c r="AG241" s="188">
        <f t="shared" si="75"/>
        <v>0</v>
      </c>
    </row>
    <row r="242" spans="2:33" ht="15" customHeight="1" x14ac:dyDescent="0.15">
      <c r="B242" s="174" t="s">
        <v>7</v>
      </c>
      <c r="C242" s="175" t="s">
        <v>15</v>
      </c>
      <c r="D242" s="176" t="str">
        <f t="shared" si="57"/>
        <v>C</v>
      </c>
      <c r="E242" s="177" t="d">
        <v>2021-09-24T08:45:00.00000020954757600</v>
      </c>
      <c r="F242" s="178" t="s">
        <v>103</v>
      </c>
      <c r="G242" s="179">
        <v>110.462</v>
      </c>
      <c r="H242" s="179">
        <v>110.298</v>
      </c>
      <c r="I242" s="180">
        <f t="shared" si="58"/>
        <v>0.16400000000000148</v>
      </c>
      <c r="J242" s="179">
        <v>111.492</v>
      </c>
      <c r="K242" s="177" t="d">
        <v>2021-09-24T11:09:00.00000008381903175</v>
      </c>
      <c r="L242" s="179">
        <v>110.35599999999999</v>
      </c>
      <c r="M242" s="181">
        <f t="shared" si="59"/>
        <v>-0.106</v>
      </c>
      <c r="N242" s="182">
        <f t="shared" si="60"/>
        <v>-0.65</v>
      </c>
      <c r="O242" s="183">
        <f t="shared" si="61"/>
        <v>0</v>
      </c>
      <c r="P242" s="184">
        <f t="shared" si="62"/>
        <v>0</v>
      </c>
      <c r="Q242" s="184">
        <f t="shared" si="63"/>
        <v>-0.65</v>
      </c>
      <c r="R24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49075</v>
      </c>
      <c r="T24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42" s="186">
        <f ca="1">IF(Tabla33610673[[#This Row],[Equity]]&lt;Tabla33610673[[#This Row],[Equity Peak]],(Tabla33610673[[#This Row],[Equity Peak]]-Tabla33610673[[#This Row],[Equity]])/Tabla33610673[[#This Row],[Equity Peak]],"")</f>
        <v>2.3868722028841372E-2</v>
      </c>
      <c r="V242" s="187">
        <f t="shared" si="64"/>
        <v>-0.65</v>
      </c>
      <c r="W242" s="187">
        <f t="shared" si="65"/>
        <v>0</v>
      </c>
      <c r="X242" s="187">
        <f t="shared" si="66"/>
        <v>0</v>
      </c>
      <c r="Y242" s="187">
        <f t="shared" si="67"/>
        <v>0</v>
      </c>
      <c r="Z242" s="187">
        <f t="shared" si="68"/>
        <v>0</v>
      </c>
      <c r="AA242" s="183">
        <f t="shared" si="69"/>
        <v>0</v>
      </c>
      <c r="AB242" s="187">
        <f t="shared" si="70"/>
        <v>0</v>
      </c>
      <c r="AC242" s="183">
        <f t="shared" si="71"/>
        <v>0</v>
      </c>
      <c r="AD242" s="188">
        <f t="shared" si="72"/>
        <v>9.9999999998544808E-2</v>
      </c>
      <c r="AE242" s="188">
        <f t="shared" si="73"/>
        <v>0</v>
      </c>
      <c r="AF242" s="188">
        <f t="shared" si="74"/>
        <v>9.9999999998544808E-2</v>
      </c>
      <c r="AG242" s="188">
        <f t="shared" si="75"/>
        <v>0</v>
      </c>
    </row>
    <row r="243" spans="2:33" ht="15" customHeight="1" x14ac:dyDescent="0.15">
      <c r="B243" s="174" t="s">
        <v>5</v>
      </c>
      <c r="C243" s="175" t="s">
        <v>15</v>
      </c>
      <c r="D243" s="176" t="str">
        <f t="shared" si="57"/>
        <v>C</v>
      </c>
      <c r="E243" s="177" t="d">
        <v>2021-09-23T17:00:00.00000020954757600</v>
      </c>
      <c r="F243" s="178" t="s">
        <v>82</v>
      </c>
      <c r="G243" s="179">
        <v>4437.8500000000004</v>
      </c>
      <c r="H243" s="179">
        <v>4412.97</v>
      </c>
      <c r="I243" s="180">
        <f t="shared" si="58"/>
        <v>24.880000000000109</v>
      </c>
      <c r="J243" s="179">
        <v>4599.55</v>
      </c>
      <c r="K243" s="177" t="d">
        <v>2021-09-24T09:53:59.99999987427145575</v>
      </c>
      <c r="L243" s="179">
        <v>4438.54</v>
      </c>
      <c r="M243" s="181">
        <f t="shared" si="59"/>
        <v>0.69</v>
      </c>
      <c r="N243" s="182">
        <f t="shared" si="60"/>
        <v>0.03</v>
      </c>
      <c r="O243" s="183">
        <f t="shared" si="61"/>
        <v>0</v>
      </c>
      <c r="P243" s="184">
        <f t="shared" si="62"/>
        <v>0.03</v>
      </c>
      <c r="Q243" s="184">
        <f t="shared" si="63"/>
        <v>0</v>
      </c>
      <c r="R24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49237.5</v>
      </c>
      <c r="T24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43" s="186">
        <f ca="1">IF(Tabla33610673[[#This Row],[Equity]]&lt;Tabla33610673[[#This Row],[Equity Peak]],(Tabla33610673[[#This Row],[Equity Peak]]-Tabla33610673[[#This Row],[Equity]])/Tabla33610673[[#This Row],[Equity Peak]],"")</f>
        <v>2.0636499254102436E-2</v>
      </c>
      <c r="V243" s="187">
        <f t="shared" si="64"/>
        <v>0</v>
      </c>
      <c r="W243" s="187">
        <f t="shared" si="65"/>
        <v>0</v>
      </c>
      <c r="X243" s="187">
        <f t="shared" si="66"/>
        <v>0</v>
      </c>
      <c r="Y243" s="187">
        <f t="shared" si="67"/>
        <v>0</v>
      </c>
      <c r="Z243" s="187">
        <f t="shared" si="68"/>
        <v>0.03</v>
      </c>
      <c r="AA243" s="183">
        <f t="shared" si="69"/>
        <v>0</v>
      </c>
      <c r="AB243" s="187">
        <f t="shared" si="70"/>
        <v>0</v>
      </c>
      <c r="AC243" s="183">
        <f t="shared" si="71"/>
        <v>0</v>
      </c>
      <c r="AD243" s="188">
        <f t="shared" si="72"/>
        <v>0.70416666666278616</v>
      </c>
      <c r="AE243" s="188">
        <f t="shared" si="73"/>
        <v>0.70416666666278616</v>
      </c>
      <c r="AF243" s="188">
        <f t="shared" si="74"/>
        <v>0</v>
      </c>
      <c r="AG243" s="188">
        <f t="shared" si="75"/>
        <v>0</v>
      </c>
    </row>
    <row r="244" spans="2:33" ht="15" customHeight="1" x14ac:dyDescent="0.15">
      <c r="B244" s="174" t="s">
        <v>5</v>
      </c>
      <c r="C244" s="175" t="s">
        <v>15</v>
      </c>
      <c r="D244" s="176" t="str">
        <f t="shared" si="57"/>
        <v>C</v>
      </c>
      <c r="E244" s="177" t="d">
        <v>2021-09-23T20:45:00.00000020954757600</v>
      </c>
      <c r="F244" s="178" t="s">
        <v>81</v>
      </c>
      <c r="G244" s="179">
        <v>15348.95</v>
      </c>
      <c r="H244" s="179">
        <v>15280.41</v>
      </c>
      <c r="I244" s="180">
        <f t="shared" si="58"/>
        <v>68.540000000000873</v>
      </c>
      <c r="J244" s="179">
        <v>15760.2</v>
      </c>
      <c r="K244" s="177" t="d">
        <v>2021-09-24T08:09:00.00000008381903175</v>
      </c>
      <c r="L244" s="179">
        <v>15280.41</v>
      </c>
      <c r="M244" s="181">
        <f t="shared" si="59"/>
        <v>-68.540000000000006</v>
      </c>
      <c r="N244" s="182">
        <f t="shared" si="60"/>
        <v>-1</v>
      </c>
      <c r="O244" s="183">
        <f t="shared" si="61"/>
        <v>0</v>
      </c>
      <c r="P244" s="184">
        <f t="shared" si="62"/>
        <v>0</v>
      </c>
      <c r="Q244" s="184">
        <f t="shared" si="63"/>
        <v>-1</v>
      </c>
      <c r="R24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49230</v>
      </c>
      <c r="T24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44" s="186">
        <f ca="1">IF(Tabla33610673[[#This Row],[Equity]]&lt;Tabla33610673[[#This Row],[Equity Peak]],(Tabla33610673[[#This Row],[Equity Peak]]-Tabla33610673[[#This Row],[Equity]])/Tabla33610673[[#This Row],[Equity Peak]],"")</f>
        <v>2.0785678766782695E-2</v>
      </c>
      <c r="V244" s="187">
        <f t="shared" si="64"/>
        <v>0</v>
      </c>
      <c r="W244" s="187">
        <f t="shared" si="65"/>
        <v>0</v>
      </c>
      <c r="X244" s="187">
        <f t="shared" si="66"/>
        <v>0</v>
      </c>
      <c r="Y244" s="187">
        <f t="shared" si="67"/>
        <v>0</v>
      </c>
      <c r="Z244" s="187">
        <f t="shared" si="68"/>
        <v>-1</v>
      </c>
      <c r="AA244" s="183">
        <f t="shared" si="69"/>
        <v>0</v>
      </c>
      <c r="AB244" s="187">
        <f t="shared" si="70"/>
        <v>0</v>
      </c>
      <c r="AC244" s="183">
        <f t="shared" si="71"/>
        <v>0</v>
      </c>
      <c r="AD244" s="188">
        <f t="shared" si="72"/>
        <v>0.47499999999854481</v>
      </c>
      <c r="AE244" s="188">
        <f t="shared" si="73"/>
        <v>0</v>
      </c>
      <c r="AF244" s="188">
        <f t="shared" si="74"/>
        <v>0.47499999999854481</v>
      </c>
      <c r="AG244" s="188">
        <f t="shared" si="75"/>
        <v>0</v>
      </c>
    </row>
    <row r="245" spans="2:33" ht="15" customHeight="1" x14ac:dyDescent="0.15">
      <c r="B245" s="174" t="s">
        <v>5</v>
      </c>
      <c r="C245" s="175" t="s">
        <v>15</v>
      </c>
      <c r="D245" s="176" t="str">
        <f t="shared" si="57"/>
        <v>C</v>
      </c>
      <c r="E245" s="177" t="d">
        <v>2021-09-23T10:44:59.99999979045242400</v>
      </c>
      <c r="F245" s="178" t="s">
        <v>82</v>
      </c>
      <c r="G245" s="179">
        <v>4421.34</v>
      </c>
      <c r="H245" s="179">
        <v>4397.1000000000004</v>
      </c>
      <c r="I245" s="180">
        <f t="shared" si="58"/>
        <v>24.239999999999782</v>
      </c>
      <c r="J245" s="179">
        <v>4578.93</v>
      </c>
      <c r="K245" s="177" t="d">
        <v>2021-09-23T16:09:00.00000029336660775</v>
      </c>
      <c r="L245" s="179">
        <v>4405.08</v>
      </c>
      <c r="M245" s="181">
        <f t="shared" si="59"/>
        <v>-16.260000000000002</v>
      </c>
      <c r="N245" s="182">
        <f t="shared" si="60"/>
        <v>-0.67</v>
      </c>
      <c r="O245" s="183">
        <f t="shared" si="61"/>
        <v>0</v>
      </c>
      <c r="P245" s="184">
        <f t="shared" si="62"/>
        <v>0</v>
      </c>
      <c r="Q245" s="184">
        <f t="shared" si="63"/>
        <v>-0.67</v>
      </c>
      <c r="R24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49480</v>
      </c>
      <c r="T24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45" s="186">
        <f ca="1">IF(Tabla33610673[[#This Row],[Equity]]&lt;Tabla33610673[[#This Row],[Equity Peak]],(Tabla33610673[[#This Row],[Equity Peak]]-Tabla33610673[[#This Row],[Equity]])/Tabla33610673[[#This Row],[Equity Peak]],"")</f>
        <v>1.5813028344107409E-2</v>
      </c>
      <c r="V245" s="187">
        <f t="shared" si="64"/>
        <v>0</v>
      </c>
      <c r="W245" s="187">
        <f t="shared" si="65"/>
        <v>0</v>
      </c>
      <c r="X245" s="187">
        <f t="shared" si="66"/>
        <v>0</v>
      </c>
      <c r="Y245" s="187">
        <f t="shared" si="67"/>
        <v>0</v>
      </c>
      <c r="Z245" s="187">
        <f t="shared" si="68"/>
        <v>-0.67</v>
      </c>
      <c r="AA245" s="183">
        <f t="shared" si="69"/>
        <v>0</v>
      </c>
      <c r="AB245" s="187">
        <f t="shared" si="70"/>
        <v>0</v>
      </c>
      <c r="AC245" s="183">
        <f t="shared" si="71"/>
        <v>0</v>
      </c>
      <c r="AD245" s="188">
        <f t="shared" si="72"/>
        <v>0.22500000000582077</v>
      </c>
      <c r="AE245" s="188">
        <f t="shared" si="73"/>
        <v>0</v>
      </c>
      <c r="AF245" s="188">
        <f t="shared" si="74"/>
        <v>0.22500000000582077</v>
      </c>
      <c r="AG245" s="188">
        <f t="shared" si="75"/>
        <v>0</v>
      </c>
    </row>
    <row r="246" spans="2:33" ht="15" customHeight="1" x14ac:dyDescent="0.15">
      <c r="B246" s="174" t="s">
        <v>19</v>
      </c>
      <c r="C246" s="175" t="s">
        <v>15</v>
      </c>
      <c r="D246" s="176" t="str">
        <f t="shared" si="57"/>
        <v>C</v>
      </c>
      <c r="E246" s="177" t="d">
        <v>2021-09-23T12:30:00.00000020954757600</v>
      </c>
      <c r="F246" s="178" t="s">
        <v>77</v>
      </c>
      <c r="G246" s="179">
        <v>1771.11</v>
      </c>
      <c r="H246" s="179">
        <v>1766.05</v>
      </c>
      <c r="I246" s="180">
        <f t="shared" si="58"/>
        <v>5.0599999999999454</v>
      </c>
      <c r="J246" s="179">
        <v>1795.41</v>
      </c>
      <c r="K246" s="177" t="d">
        <v>2021-09-23T15:52:00.00000011175870900</v>
      </c>
      <c r="L246" s="179">
        <v>1766.05</v>
      </c>
      <c r="M246" s="181">
        <f t="shared" si="59"/>
        <v>-5.0599999999999996</v>
      </c>
      <c r="N246" s="182">
        <f t="shared" si="60"/>
        <v>-1</v>
      </c>
      <c r="O246" s="183">
        <f t="shared" si="61"/>
        <v>0</v>
      </c>
      <c r="P246" s="184">
        <f t="shared" si="62"/>
        <v>0</v>
      </c>
      <c r="Q246" s="184">
        <f t="shared" si="63"/>
        <v>-1</v>
      </c>
      <c r="R24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49647.5</v>
      </c>
      <c r="T24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46" s="186">
        <f ca="1">IF(Tabla33610673[[#This Row],[Equity]]&lt;Tabla33610673[[#This Row],[Equity Peak]],(Tabla33610673[[#This Row],[Equity Peak]]-Tabla33610673[[#This Row],[Equity]])/Tabla33610673[[#This Row],[Equity Peak]],"")</f>
        <v>1.2481352560914968E-2</v>
      </c>
      <c r="V246" s="187">
        <f t="shared" si="64"/>
        <v>0</v>
      </c>
      <c r="W246" s="187">
        <f t="shared" si="65"/>
        <v>0</v>
      </c>
      <c r="X246" s="187">
        <f t="shared" si="66"/>
        <v>-1</v>
      </c>
      <c r="Y246" s="187">
        <f t="shared" si="67"/>
        <v>0</v>
      </c>
      <c r="Z246" s="187">
        <f t="shared" si="68"/>
        <v>0</v>
      </c>
      <c r="AA246" s="183">
        <f t="shared" si="69"/>
        <v>0</v>
      </c>
      <c r="AB246" s="187">
        <f t="shared" si="70"/>
        <v>0</v>
      </c>
      <c r="AC246" s="183">
        <f t="shared" si="71"/>
        <v>0</v>
      </c>
      <c r="AD246" s="188">
        <f t="shared" si="72"/>
        <v>0.14027777777664596</v>
      </c>
      <c r="AE246" s="188">
        <f t="shared" si="73"/>
        <v>0</v>
      </c>
      <c r="AF246" s="188">
        <f t="shared" si="74"/>
        <v>0.14027777777664596</v>
      </c>
      <c r="AG246" s="188">
        <f t="shared" si="75"/>
        <v>0</v>
      </c>
    </row>
    <row r="247" spans="2:33" ht="15" customHeight="1" x14ac:dyDescent="0.15">
      <c r="B247" s="174" t="s">
        <v>5</v>
      </c>
      <c r="C247" s="175" t="s">
        <v>13</v>
      </c>
      <c r="D247" s="176" t="str">
        <f t="shared" si="57"/>
        <v>C</v>
      </c>
      <c r="E247" s="177" t="d">
        <v>2021-09-21T23:15:00.000</v>
      </c>
      <c r="F247" s="178" t="s">
        <v>82</v>
      </c>
      <c r="G247" s="179">
        <v>4343.88</v>
      </c>
      <c r="H247" s="179">
        <v>4366.66</v>
      </c>
      <c r="I247" s="180">
        <f t="shared" si="58"/>
        <v>22.779999999999745</v>
      </c>
      <c r="J247" s="179">
        <v>4195.78</v>
      </c>
      <c r="K247" s="177" t="d">
        <v>2021-09-22T04:09:00.00000029336660775</v>
      </c>
      <c r="L247" s="179">
        <v>4355.4399999999996</v>
      </c>
      <c r="M247" s="181">
        <f t="shared" si="59"/>
        <v>-11.56</v>
      </c>
      <c r="N247" s="182">
        <f t="shared" si="60"/>
        <v>-0.51</v>
      </c>
      <c r="O247" s="183">
        <f t="shared" si="61"/>
        <v>0</v>
      </c>
      <c r="P247" s="184">
        <f t="shared" si="62"/>
        <v>0</v>
      </c>
      <c r="Q247" s="184">
        <f t="shared" si="63"/>
        <v>-0.51</v>
      </c>
      <c r="R24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49897.5</v>
      </c>
      <c r="T24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47" s="186">
        <f ca="1">IF(Tabla33610673[[#This Row],[Equity]]&lt;Tabla33610673[[#This Row],[Equity Peak]],(Tabla33610673[[#This Row],[Equity Peak]]-Tabla33610673[[#This Row],[Equity]])/Tabla33610673[[#This Row],[Equity Peak]],"")</f>
        <v>7.5087021382396818E-3</v>
      </c>
      <c r="V247" s="187">
        <f t="shared" si="64"/>
        <v>0</v>
      </c>
      <c r="W247" s="187">
        <f t="shared" si="65"/>
        <v>0</v>
      </c>
      <c r="X247" s="187">
        <f t="shared" si="66"/>
        <v>0</v>
      </c>
      <c r="Y247" s="187">
        <f t="shared" si="67"/>
        <v>0</v>
      </c>
      <c r="Z247" s="187">
        <f t="shared" si="68"/>
        <v>-0.51</v>
      </c>
      <c r="AA247" s="183">
        <f t="shared" si="69"/>
        <v>0</v>
      </c>
      <c r="AB247" s="187">
        <f t="shared" si="70"/>
        <v>0</v>
      </c>
      <c r="AC247" s="183">
        <f t="shared" si="71"/>
        <v>0</v>
      </c>
      <c r="AD247" s="188">
        <f t="shared" si="72"/>
        <v>0.20416666667006211</v>
      </c>
      <c r="AE247" s="188">
        <f t="shared" si="73"/>
        <v>0</v>
      </c>
      <c r="AF247" s="188">
        <f t="shared" si="74"/>
        <v>0.20416666667006211</v>
      </c>
      <c r="AG247" s="188">
        <f t="shared" si="75"/>
        <v>0</v>
      </c>
    </row>
    <row r="248" spans="2:33" ht="15" customHeight="1" x14ac:dyDescent="0.15">
      <c r="B248" s="174" t="s">
        <v>7</v>
      </c>
      <c r="C248" s="175" t="s">
        <v>13</v>
      </c>
      <c r="D248" s="176" t="str">
        <f t="shared" si="57"/>
        <v>C</v>
      </c>
      <c r="E248" s="177" t="d">
        <v>2021-09-21T18:00:00.000</v>
      </c>
      <c r="F248" s="178" t="s">
        <v>102</v>
      </c>
      <c r="G248" s="179">
        <v>149.00299999999999</v>
      </c>
      <c r="H248" s="179">
        <v>149.39699999999999</v>
      </c>
      <c r="I248" s="180">
        <f t="shared" si="58"/>
        <v>0.39400000000000546</v>
      </c>
      <c r="J248" s="179">
        <v>146.9</v>
      </c>
      <c r="K248" s="177" t="d">
        <v>2021-09-21T18:53:59.99999987427145575</v>
      </c>
      <c r="L248" s="179">
        <v>149.39699999999999</v>
      </c>
      <c r="M248" s="181">
        <f t="shared" si="59"/>
        <v>-0.39400000000000002</v>
      </c>
      <c r="N248" s="182">
        <f t="shared" si="60"/>
        <v>-1</v>
      </c>
      <c r="O248" s="183">
        <f t="shared" si="61"/>
        <v>0</v>
      </c>
      <c r="P248" s="184">
        <f t="shared" si="62"/>
        <v>0</v>
      </c>
      <c r="Q248" s="184">
        <f t="shared" si="63"/>
        <v>-1</v>
      </c>
      <c r="R24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50025</v>
      </c>
      <c r="T24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48" s="186">
        <f ca="1">IF(Tabla33610673[[#This Row],[Equity]]&lt;Tabla33610673[[#This Row],[Equity Peak]],(Tabla33610673[[#This Row],[Equity Peak]]-Tabla33610673[[#This Row],[Equity]])/Tabla33610673[[#This Row],[Equity Peak]],"")</f>
        <v>4.9726504226752857E-3</v>
      </c>
      <c r="V248" s="187">
        <f t="shared" si="64"/>
        <v>-1</v>
      </c>
      <c r="W248" s="187">
        <f t="shared" si="65"/>
        <v>0</v>
      </c>
      <c r="X248" s="187">
        <f t="shared" si="66"/>
        <v>0</v>
      </c>
      <c r="Y248" s="187">
        <f t="shared" si="67"/>
        <v>0</v>
      </c>
      <c r="Z248" s="187">
        <f t="shared" si="68"/>
        <v>0</v>
      </c>
      <c r="AA248" s="183">
        <f t="shared" si="69"/>
        <v>0</v>
      </c>
      <c r="AB248" s="187">
        <f t="shared" si="70"/>
        <v>0</v>
      </c>
      <c r="AC248" s="183">
        <f t="shared" si="71"/>
        <v>0</v>
      </c>
      <c r="AD248" s="188">
        <f t="shared" si="72"/>
        <v>3.7499999998544808E-2</v>
      </c>
      <c r="AE248" s="188">
        <f t="shared" si="73"/>
        <v>0</v>
      </c>
      <c r="AF248" s="188">
        <f t="shared" si="74"/>
        <v>3.7499999998544808E-2</v>
      </c>
      <c r="AG248" s="188">
        <f t="shared" si="75"/>
        <v>0</v>
      </c>
    </row>
    <row r="249" spans="2:33" ht="15" customHeight="1" x14ac:dyDescent="0.15">
      <c r="B249" s="174" t="s">
        <v>19</v>
      </c>
      <c r="C249" s="175" t="s">
        <v>15</v>
      </c>
      <c r="D249" s="176" t="str">
        <f t="shared" si="57"/>
        <v>C</v>
      </c>
      <c r="E249" s="177" t="d">
        <v>2021-09-20T11:45:00.00000020954757600</v>
      </c>
      <c r="F249" s="178" t="s">
        <v>77</v>
      </c>
      <c r="G249" s="179">
        <v>1756.63</v>
      </c>
      <c r="H249" s="179">
        <v>1751.99</v>
      </c>
      <c r="I249" s="180">
        <f t="shared" si="58"/>
        <v>4.6400000000001</v>
      </c>
      <c r="J249" s="179">
        <v>1778.9</v>
      </c>
      <c r="K249" s="177" t="d">
        <v>2021-09-21T18:08:59.99999987427145575</v>
      </c>
      <c r="L249" s="179">
        <v>1778.9</v>
      </c>
      <c r="M249" s="181">
        <f t="shared" si="59"/>
        <v>22.27</v>
      </c>
      <c r="N249" s="182">
        <f t="shared" si="60"/>
        <v>4.8</v>
      </c>
      <c r="O249" s="183">
        <f t="shared" si="61"/>
        <v>0</v>
      </c>
      <c r="P249" s="184">
        <f t="shared" si="62"/>
        <v>4.8</v>
      </c>
      <c r="Q249" s="184">
        <f t="shared" si="63"/>
        <v>0</v>
      </c>
      <c r="R24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50275</v>
      </c>
      <c r="T24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50275</v>
      </c>
      <c r="U249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249" s="187">
        <f t="shared" si="64"/>
        <v>0</v>
      </c>
      <c r="W249" s="187">
        <f t="shared" si="65"/>
        <v>0</v>
      </c>
      <c r="X249" s="187">
        <f t="shared" si="66"/>
        <v>4.8</v>
      </c>
      <c r="Y249" s="187">
        <f t="shared" si="67"/>
        <v>0</v>
      </c>
      <c r="Z249" s="187">
        <f t="shared" si="68"/>
        <v>0</v>
      </c>
      <c r="AA249" s="183">
        <f t="shared" si="69"/>
        <v>0</v>
      </c>
      <c r="AB249" s="187">
        <f t="shared" si="70"/>
        <v>0</v>
      </c>
      <c r="AC249" s="183">
        <f t="shared" si="71"/>
        <v>0</v>
      </c>
      <c r="AD249" s="188">
        <f t="shared" si="72"/>
        <v>1.2666666666627862</v>
      </c>
      <c r="AE249" s="188">
        <f t="shared" si="73"/>
        <v>1.2666666666627862</v>
      </c>
      <c r="AF249" s="188">
        <f t="shared" si="74"/>
        <v>0</v>
      </c>
      <c r="AG249" s="188">
        <f t="shared" si="75"/>
        <v>0</v>
      </c>
    </row>
    <row r="250" spans="2:33" ht="15" customHeight="1" x14ac:dyDescent="0.15">
      <c r="B250" s="174" t="s">
        <v>7</v>
      </c>
      <c r="C250" s="175" t="s">
        <v>13</v>
      </c>
      <c r="D250" s="176" t="str">
        <f t="shared" si="57"/>
        <v>C</v>
      </c>
      <c r="E250" s="177" t="d">
        <v>2021-09-20T05:00:00.00000020954757600</v>
      </c>
      <c r="F250" s="178" t="s">
        <v>102</v>
      </c>
      <c r="G250" s="179">
        <v>150.72499999999999</v>
      </c>
      <c r="H250" s="179">
        <v>150.97900000000001</v>
      </c>
      <c r="I250" s="180">
        <f t="shared" si="58"/>
        <v>0.2540000000000191</v>
      </c>
      <c r="J250" s="179">
        <v>149.37</v>
      </c>
      <c r="K250" s="177" t="d">
        <v>2021-09-20T16:12:00.00000025145709525</v>
      </c>
      <c r="L250" s="179">
        <v>149.9</v>
      </c>
      <c r="M250" s="181">
        <f t="shared" si="59"/>
        <v>0.82499999999999996</v>
      </c>
      <c r="N250" s="182">
        <f t="shared" si="60"/>
        <v>3.25</v>
      </c>
      <c r="O250" s="183">
        <f t="shared" si="61"/>
        <v>0</v>
      </c>
      <c r="P250" s="184">
        <f t="shared" si="62"/>
        <v>3.25</v>
      </c>
      <c r="Q250" s="184">
        <f t="shared" si="63"/>
        <v>0</v>
      </c>
      <c r="R25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49075</v>
      </c>
      <c r="T25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50" s="186">
        <f ca="1">IF(Tabla33610673[[#This Row],[Equity]]&lt;Tabla33610673[[#This Row],[Equity Peak]],(Tabla33610673[[#This Row],[Equity Peak]]-Tabla33610673[[#This Row],[Equity]])/Tabla33610673[[#This Row],[Equity Peak]],"")</f>
        <v>1.7812468728109678E-2</v>
      </c>
      <c r="V250" s="187">
        <f t="shared" si="64"/>
        <v>3.25</v>
      </c>
      <c r="W250" s="187">
        <f t="shared" si="65"/>
        <v>0</v>
      </c>
      <c r="X250" s="187">
        <f t="shared" si="66"/>
        <v>0</v>
      </c>
      <c r="Y250" s="187">
        <f t="shared" si="67"/>
        <v>0</v>
      </c>
      <c r="Z250" s="187">
        <f t="shared" si="68"/>
        <v>0</v>
      </c>
      <c r="AA250" s="183">
        <f t="shared" si="69"/>
        <v>0</v>
      </c>
      <c r="AB250" s="187">
        <f t="shared" si="70"/>
        <v>0</v>
      </c>
      <c r="AC250" s="183">
        <f t="shared" si="71"/>
        <v>0</v>
      </c>
      <c r="AD250" s="188">
        <f t="shared" si="72"/>
        <v>0.46666666666715173</v>
      </c>
      <c r="AE250" s="188">
        <f t="shared" si="73"/>
        <v>0.46666666666715173</v>
      </c>
      <c r="AF250" s="188">
        <f t="shared" si="74"/>
        <v>0</v>
      </c>
      <c r="AG250" s="188">
        <f t="shared" si="75"/>
        <v>0</v>
      </c>
    </row>
    <row r="251" spans="2:33" ht="15" customHeight="1" x14ac:dyDescent="0.15">
      <c r="B251" s="174" t="s">
        <v>5</v>
      </c>
      <c r="C251" s="175" t="s">
        <v>13</v>
      </c>
      <c r="D251" s="176" t="str">
        <f t="shared" si="57"/>
        <v>C</v>
      </c>
      <c r="E251" s="177" t="d">
        <v>2021-09-17T13:30:00.000</v>
      </c>
      <c r="F251" s="178" t="s">
        <v>82</v>
      </c>
      <c r="G251" s="179">
        <v>4460.41</v>
      </c>
      <c r="H251" s="179">
        <v>4477</v>
      </c>
      <c r="I251" s="180">
        <f t="shared" si="58"/>
        <v>16.590000000000146</v>
      </c>
      <c r="J251" s="179">
        <v>4352.57</v>
      </c>
      <c r="K251" s="177" t="d">
        <v>2021-09-20T15:24:00.00000029336660775</v>
      </c>
      <c r="L251" s="179">
        <v>4352.57</v>
      </c>
      <c r="M251" s="181">
        <f t="shared" si="59"/>
        <v>107.84</v>
      </c>
      <c r="N251" s="182">
        <f t="shared" si="60"/>
        <v>6.5</v>
      </c>
      <c r="O251" s="183">
        <f t="shared" si="61"/>
        <v>0</v>
      </c>
      <c r="P251" s="184">
        <f t="shared" si="62"/>
        <v>6.5</v>
      </c>
      <c r="Q251" s="184">
        <f t="shared" si="63"/>
        <v>0</v>
      </c>
      <c r="R25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48262.5</v>
      </c>
      <c r="T25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51" s="186">
        <f ca="1">IF(Tabla33610673[[#This Row],[Equity]]&lt;Tabla33610673[[#This Row],[Equity Peak]],(Tabla33610673[[#This Row],[Equity Peak]]-Tabla33610673[[#This Row],[Equity]])/Tabla33610673[[#This Row],[Equity Peak]],"")</f>
        <v>3.4073851696187332E-2</v>
      </c>
      <c r="V251" s="187">
        <f t="shared" si="64"/>
        <v>0</v>
      </c>
      <c r="W251" s="187">
        <f t="shared" si="65"/>
        <v>0</v>
      </c>
      <c r="X251" s="187">
        <f t="shared" si="66"/>
        <v>0</v>
      </c>
      <c r="Y251" s="187">
        <f t="shared" si="67"/>
        <v>0</v>
      </c>
      <c r="Z251" s="187">
        <f t="shared" si="68"/>
        <v>6.5</v>
      </c>
      <c r="AA251" s="183">
        <f t="shared" si="69"/>
        <v>0</v>
      </c>
      <c r="AB251" s="187">
        <f t="shared" si="70"/>
        <v>0</v>
      </c>
      <c r="AC251" s="183">
        <f t="shared" si="71"/>
        <v>0</v>
      </c>
      <c r="AD251" s="188">
        <f t="shared" si="72"/>
        <v>3.0791666666700621</v>
      </c>
      <c r="AE251" s="188">
        <f t="shared" si="73"/>
        <v>3.0791666666700621</v>
      </c>
      <c r="AF251" s="188">
        <f t="shared" si="74"/>
        <v>0</v>
      </c>
      <c r="AG251" s="188">
        <f t="shared" si="75"/>
        <v>0</v>
      </c>
    </row>
    <row r="252" spans="2:33" ht="15" customHeight="1" x14ac:dyDescent="0.15">
      <c r="B252" s="174" t="s">
        <v>5</v>
      </c>
      <c r="C252" s="175" t="s">
        <v>13</v>
      </c>
      <c r="D252" s="176" t="str">
        <f t="shared" si="57"/>
        <v>C</v>
      </c>
      <c r="E252" s="177" t="d">
        <v>2021-09-17T17:15:00.000</v>
      </c>
      <c r="F252" s="178" t="s">
        <v>80</v>
      </c>
      <c r="G252" s="179">
        <v>15534.98</v>
      </c>
      <c r="H252" s="179">
        <v>15593.59</v>
      </c>
      <c r="I252" s="180">
        <f t="shared" si="58"/>
        <v>58.610000000000582</v>
      </c>
      <c r="J252" s="179">
        <v>15105.21</v>
      </c>
      <c r="K252" s="177" t="d">
        <v>2021-09-20T14:28:00.00000002793967725</v>
      </c>
      <c r="L252" s="179">
        <v>15105.21</v>
      </c>
      <c r="M252" s="181">
        <f t="shared" si="59"/>
        <v>429.77</v>
      </c>
      <c r="N252" s="182">
        <f t="shared" si="60"/>
        <v>7.33</v>
      </c>
      <c r="O252" s="183">
        <f t="shared" si="61"/>
        <v>0</v>
      </c>
      <c r="P252" s="184">
        <f t="shared" si="62"/>
        <v>7.33</v>
      </c>
      <c r="Q252" s="184">
        <f t="shared" si="63"/>
        <v>0</v>
      </c>
      <c r="R25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46637.5</v>
      </c>
      <c r="T25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52" s="186">
        <f ca="1">IF(Tabla33610673[[#This Row],[Equity]]&lt;Tabla33610673[[#This Row],[Equity Peak]],(Tabla33610673[[#This Row],[Equity Peak]]-Tabla33610673[[#This Row],[Equity]])/Tabla33610673[[#This Row],[Equity Peak]],"")</f>
        <v>6.6596617632342633E-2</v>
      </c>
      <c r="V252" s="187">
        <f t="shared" si="64"/>
        <v>0</v>
      </c>
      <c r="W252" s="187">
        <f t="shared" si="65"/>
        <v>0</v>
      </c>
      <c r="X252" s="187">
        <f t="shared" si="66"/>
        <v>0</v>
      </c>
      <c r="Y252" s="187">
        <f t="shared" si="67"/>
        <v>0</v>
      </c>
      <c r="Z252" s="187">
        <f t="shared" si="68"/>
        <v>7.33</v>
      </c>
      <c r="AA252" s="183">
        <f t="shared" si="69"/>
        <v>0</v>
      </c>
      <c r="AB252" s="187">
        <f t="shared" si="70"/>
        <v>0</v>
      </c>
      <c r="AC252" s="183">
        <f t="shared" si="71"/>
        <v>0</v>
      </c>
      <c r="AD252" s="188">
        <f t="shared" si="72"/>
        <v>2.8840277777781012</v>
      </c>
      <c r="AE252" s="188">
        <f t="shared" si="73"/>
        <v>2.8840277777781012</v>
      </c>
      <c r="AF252" s="188">
        <f t="shared" si="74"/>
        <v>0</v>
      </c>
      <c r="AG252" s="188">
        <f t="shared" si="75"/>
        <v>0</v>
      </c>
    </row>
    <row r="253" spans="2:33" ht="15" customHeight="1" x14ac:dyDescent="0.15">
      <c r="B253" s="174" t="s">
        <v>5</v>
      </c>
      <c r="C253" s="175" t="s">
        <v>13</v>
      </c>
      <c r="D253" s="176" t="str">
        <f t="shared" si="57"/>
        <v>C</v>
      </c>
      <c r="E253" s="177" t="d">
        <v>2021-09-17T17:45:00.00000020954757600</v>
      </c>
      <c r="F253" s="178" t="s">
        <v>81</v>
      </c>
      <c r="G253" s="179">
        <v>15357.6</v>
      </c>
      <c r="H253" s="179">
        <v>15405.55</v>
      </c>
      <c r="I253" s="180">
        <f t="shared" si="58"/>
        <v>47.949999999998909</v>
      </c>
      <c r="J253" s="179">
        <v>15069.9</v>
      </c>
      <c r="K253" s="177" t="d">
        <v>2021-09-20T08:23:59.99999987427145575</v>
      </c>
      <c r="L253" s="179">
        <v>15267.35</v>
      </c>
      <c r="M253" s="181">
        <f t="shared" si="59"/>
        <v>90.25</v>
      </c>
      <c r="N253" s="182">
        <f t="shared" si="60"/>
        <v>1.88</v>
      </c>
      <c r="O253" s="183">
        <f t="shared" si="61"/>
        <v>0</v>
      </c>
      <c r="P253" s="184">
        <f t="shared" si="62"/>
        <v>1.88</v>
      </c>
      <c r="Q253" s="184">
        <f t="shared" si="63"/>
        <v>0</v>
      </c>
      <c r="R25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44805</v>
      </c>
      <c r="T25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53" s="186">
        <f ca="1">IF(Tabla33610673[[#This Row],[Equity]]&lt;Tabla33610673[[#This Row],[Equity Peak]],(Tabla33610673[[#This Row],[Equity Peak]]-Tabla33610673[[#This Row],[Equity]])/Tabla33610673[[#This Row],[Equity Peak]],"")</f>
        <v>0.1032722906034224</v>
      </c>
      <c r="V253" s="187">
        <f t="shared" si="64"/>
        <v>0</v>
      </c>
      <c r="W253" s="187">
        <f t="shared" si="65"/>
        <v>0</v>
      </c>
      <c r="X253" s="187">
        <f t="shared" si="66"/>
        <v>0</v>
      </c>
      <c r="Y253" s="187">
        <f t="shared" si="67"/>
        <v>0</v>
      </c>
      <c r="Z253" s="187">
        <f t="shared" si="68"/>
        <v>1.88</v>
      </c>
      <c r="AA253" s="183">
        <f t="shared" si="69"/>
        <v>0</v>
      </c>
      <c r="AB253" s="187">
        <f t="shared" si="70"/>
        <v>0</v>
      </c>
      <c r="AC253" s="183">
        <f t="shared" si="71"/>
        <v>0</v>
      </c>
      <c r="AD253" s="188">
        <f t="shared" si="72"/>
        <v>2.6104166666627862</v>
      </c>
      <c r="AE253" s="188">
        <f t="shared" si="73"/>
        <v>2.6104166666627862</v>
      </c>
      <c r="AF253" s="188">
        <f t="shared" si="74"/>
        <v>0</v>
      </c>
      <c r="AG253" s="188">
        <f t="shared" si="75"/>
        <v>0</v>
      </c>
    </row>
    <row r="254" spans="2:33" ht="15" customHeight="1" x14ac:dyDescent="0.15">
      <c r="B254" s="174" t="s">
        <v>19</v>
      </c>
      <c r="C254" s="175" t="s">
        <v>15</v>
      </c>
      <c r="D254" s="176" t="str">
        <f t="shared" si="57"/>
        <v>C</v>
      </c>
      <c r="E254" s="177" t="d">
        <v>2021-09-17T08:00:00.00000020954757600</v>
      </c>
      <c r="F254" s="178" t="s">
        <v>77</v>
      </c>
      <c r="G254" s="179">
        <v>1760.58</v>
      </c>
      <c r="H254" s="179">
        <v>1756.15</v>
      </c>
      <c r="I254" s="180">
        <f t="shared" si="58"/>
        <v>4.4299999999998363</v>
      </c>
      <c r="J254" s="179">
        <v>1781.84</v>
      </c>
      <c r="K254" s="177" t="d">
        <v>2021-09-17T15:39:00.00000008381903175</v>
      </c>
      <c r="L254" s="179">
        <v>1757.29</v>
      </c>
      <c r="M254" s="181">
        <f t="shared" si="59"/>
        <v>-3.29</v>
      </c>
      <c r="N254" s="182">
        <f t="shared" si="60"/>
        <v>-0.74</v>
      </c>
      <c r="O254" s="183">
        <f t="shared" si="61"/>
        <v>0</v>
      </c>
      <c r="P254" s="184">
        <f t="shared" si="62"/>
        <v>0</v>
      </c>
      <c r="Q254" s="184">
        <f t="shared" si="63"/>
        <v>-0.74</v>
      </c>
      <c r="R25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44335</v>
      </c>
      <c r="T25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54" s="186">
        <f ca="1">IF(Tabla33610673[[#This Row],[Equity]]&lt;Tabla33610673[[#This Row],[Equity Peak]],(Tabla33610673[[#This Row],[Equity Peak]]-Tabla33610673[[#This Row],[Equity]])/Tabla33610673[[#This Row],[Equity Peak]],"")</f>
        <v>0.11267887521264885</v>
      </c>
      <c r="V254" s="187">
        <f t="shared" si="64"/>
        <v>0</v>
      </c>
      <c r="W254" s="187">
        <f t="shared" si="65"/>
        <v>0</v>
      </c>
      <c r="X254" s="187">
        <f t="shared" si="66"/>
        <v>-0.74</v>
      </c>
      <c r="Y254" s="187">
        <f t="shared" si="67"/>
        <v>0</v>
      </c>
      <c r="Z254" s="187">
        <f t="shared" si="68"/>
        <v>0</v>
      </c>
      <c r="AA254" s="183">
        <f t="shared" si="69"/>
        <v>0</v>
      </c>
      <c r="AB254" s="187">
        <f t="shared" si="70"/>
        <v>0</v>
      </c>
      <c r="AC254" s="183">
        <f t="shared" si="71"/>
        <v>0</v>
      </c>
      <c r="AD254" s="188">
        <f t="shared" si="72"/>
        <v>0.31874999999854481</v>
      </c>
      <c r="AE254" s="188">
        <f t="shared" si="73"/>
        <v>0</v>
      </c>
      <c r="AF254" s="188">
        <f t="shared" si="74"/>
        <v>0.31874999999854481</v>
      </c>
      <c r="AG254" s="188">
        <f t="shared" si="75"/>
        <v>0</v>
      </c>
    </row>
    <row r="255" spans="2:33" ht="15" customHeight="1" x14ac:dyDescent="0.15">
      <c r="B255" s="174" t="s">
        <v>5</v>
      </c>
      <c r="C255" s="175" t="s">
        <v>15</v>
      </c>
      <c r="D255" s="176" t="str">
        <f t="shared" si="57"/>
        <v>C</v>
      </c>
      <c r="E255" s="177" t="d">
        <v>2021-09-16T22:15:00.00000020954757600</v>
      </c>
      <c r="F255" s="178" t="s">
        <v>81</v>
      </c>
      <c r="G255" s="179">
        <v>15536.07</v>
      </c>
      <c r="H255" s="179">
        <v>15490.1</v>
      </c>
      <c r="I255" s="180">
        <f t="shared" si="58"/>
        <v>45.969999999999345</v>
      </c>
      <c r="J255" s="179">
        <v>15811.92</v>
      </c>
      <c r="K255" s="177" t="d">
        <v>2021-09-17T02:39:00.00000029336660775</v>
      </c>
      <c r="L255" s="179">
        <v>15490.1</v>
      </c>
      <c r="M255" s="181">
        <f t="shared" si="59"/>
        <v>-45.97</v>
      </c>
      <c r="N255" s="182">
        <f t="shared" si="60"/>
        <v>-1</v>
      </c>
      <c r="O255" s="183">
        <f t="shared" si="61"/>
        <v>0</v>
      </c>
      <c r="P255" s="184">
        <f t="shared" si="62"/>
        <v>0</v>
      </c>
      <c r="Q255" s="184">
        <f t="shared" si="63"/>
        <v>-1</v>
      </c>
      <c r="R25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44520</v>
      </c>
      <c r="T25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55" s="186">
        <f ca="1">IF(Tabla33610673[[#This Row],[Equity]]&lt;Tabla33610673[[#This Row],[Equity Peak]],(Tabla33610673[[#This Row],[Equity Peak]]-Tabla33610673[[#This Row],[Equity]])/Tabla33610673[[#This Row],[Equity Peak]],"")</f>
        <v>0.10897628339837886</v>
      </c>
      <c r="V255" s="187">
        <f t="shared" si="64"/>
        <v>0</v>
      </c>
      <c r="W255" s="187">
        <f t="shared" si="65"/>
        <v>0</v>
      </c>
      <c r="X255" s="187">
        <f t="shared" si="66"/>
        <v>0</v>
      </c>
      <c r="Y255" s="187">
        <f t="shared" si="67"/>
        <v>0</v>
      </c>
      <c r="Z255" s="187">
        <f t="shared" si="68"/>
        <v>-1</v>
      </c>
      <c r="AA255" s="183">
        <f t="shared" si="69"/>
        <v>0</v>
      </c>
      <c r="AB255" s="187">
        <f t="shared" si="70"/>
        <v>0</v>
      </c>
      <c r="AC255" s="183">
        <f t="shared" si="71"/>
        <v>0</v>
      </c>
      <c r="AD255" s="188">
        <f t="shared" si="72"/>
        <v>0.18333333333430346</v>
      </c>
      <c r="AE255" s="188">
        <f t="shared" si="73"/>
        <v>0</v>
      </c>
      <c r="AF255" s="188">
        <f t="shared" si="74"/>
        <v>0.18333333333430346</v>
      </c>
      <c r="AG255" s="188">
        <f t="shared" si="75"/>
        <v>0</v>
      </c>
    </row>
    <row r="256" spans="2:33" ht="15" customHeight="1" x14ac:dyDescent="0.15">
      <c r="B256" s="174" t="s">
        <v>5</v>
      </c>
      <c r="C256" s="175" t="s">
        <v>13</v>
      </c>
      <c r="D256" s="176" t="str">
        <f t="shared" si="57"/>
        <v>C</v>
      </c>
      <c r="E256" s="177" t="d">
        <v>2021-09-16T17:00:00.00000020954757600</v>
      </c>
      <c r="F256" s="178" t="s">
        <v>82</v>
      </c>
      <c r="G256" s="179">
        <v>4462.7700000000004</v>
      </c>
      <c r="H256" s="179">
        <v>4479.22</v>
      </c>
      <c r="I256" s="180">
        <f t="shared" si="58"/>
        <v>16.449999999999818</v>
      </c>
      <c r="J256" s="179">
        <v>4355.8599999999997</v>
      </c>
      <c r="K256" s="177" t="d">
        <v>2021-09-16T19:38:59.99999987427145575</v>
      </c>
      <c r="L256" s="179">
        <v>4464.72</v>
      </c>
      <c r="M256" s="181">
        <f t="shared" si="59"/>
        <v>-1.95</v>
      </c>
      <c r="N256" s="182">
        <f t="shared" si="60"/>
        <v>-0.12</v>
      </c>
      <c r="O256" s="183">
        <f t="shared" si="61"/>
        <v>0</v>
      </c>
      <c r="P256" s="184">
        <f t="shared" si="62"/>
        <v>0</v>
      </c>
      <c r="Q256" s="184">
        <f t="shared" si="63"/>
        <v>-0.12</v>
      </c>
      <c r="R25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44770</v>
      </c>
      <c r="T25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56" s="186">
        <f ca="1">IF(Tabla33610673[[#This Row],[Equity]]&lt;Tabla33610673[[#This Row],[Equity Peak]],(Tabla33610673[[#This Row],[Equity Peak]]-Tabla33610673[[#This Row],[Equity]])/Tabla33610673[[#This Row],[Equity Peak]],"")</f>
        <v>0.10397278094666267</v>
      </c>
      <c r="V256" s="187">
        <f t="shared" si="64"/>
        <v>0</v>
      </c>
      <c r="W256" s="187">
        <f t="shared" si="65"/>
        <v>0</v>
      </c>
      <c r="X256" s="187">
        <f t="shared" si="66"/>
        <v>0</v>
      </c>
      <c r="Y256" s="187">
        <f t="shared" si="67"/>
        <v>0</v>
      </c>
      <c r="Z256" s="187">
        <f t="shared" si="68"/>
        <v>-0.12</v>
      </c>
      <c r="AA256" s="183">
        <f t="shared" si="69"/>
        <v>0</v>
      </c>
      <c r="AB256" s="187">
        <f t="shared" si="70"/>
        <v>0</v>
      </c>
      <c r="AC256" s="183">
        <f t="shared" si="71"/>
        <v>0</v>
      </c>
      <c r="AD256" s="188">
        <f t="shared" si="72"/>
        <v>0.11041666666278616</v>
      </c>
      <c r="AE256" s="188">
        <f t="shared" si="73"/>
        <v>0</v>
      </c>
      <c r="AF256" s="188">
        <f t="shared" si="74"/>
        <v>0.11041666666278616</v>
      </c>
      <c r="AG256" s="188">
        <f t="shared" si="75"/>
        <v>0</v>
      </c>
    </row>
    <row r="257" spans="2:33" ht="15" customHeight="1" x14ac:dyDescent="0.15">
      <c r="B257" s="174" t="s">
        <v>5</v>
      </c>
      <c r="C257" s="175" t="s">
        <v>13</v>
      </c>
      <c r="D257" s="176" t="str">
        <f t="shared" si="57"/>
        <v>C</v>
      </c>
      <c r="E257" s="177" t="d">
        <v>2021-09-16T15:14:59.99999979045242400</v>
      </c>
      <c r="F257" s="178" t="s">
        <v>82</v>
      </c>
      <c r="G257" s="179">
        <v>4470.66</v>
      </c>
      <c r="H257" s="179">
        <v>4486.7700000000004</v>
      </c>
      <c r="I257" s="180">
        <f t="shared" si="58"/>
        <v>16.110000000000582</v>
      </c>
      <c r="J257" s="179">
        <v>4365.96</v>
      </c>
      <c r="K257" s="177" t="d">
        <v>2021-09-16T16:32:59.9999999580904875</v>
      </c>
      <c r="L257" s="179">
        <v>4485.3999999999996</v>
      </c>
      <c r="M257" s="181">
        <f t="shared" si="59"/>
        <v>-14.74</v>
      </c>
      <c r="N257" s="182">
        <f t="shared" si="60"/>
        <v>-0.91</v>
      </c>
      <c r="O257" s="183">
        <f t="shared" si="61"/>
        <v>0</v>
      </c>
      <c r="P257" s="184">
        <f t="shared" si="62"/>
        <v>0</v>
      </c>
      <c r="Q257" s="184">
        <f t="shared" si="63"/>
        <v>-0.91</v>
      </c>
      <c r="R25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44800</v>
      </c>
      <c r="T25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57" s="186">
        <f ca="1">IF(Tabla33610673[[#This Row],[Equity]]&lt;Tabla33610673[[#This Row],[Equity Peak]],(Tabla33610673[[#This Row],[Equity Peak]]-Tabla33610673[[#This Row],[Equity]])/Tabla33610673[[#This Row],[Equity Peak]],"")</f>
        <v>0.10337236065245672</v>
      </c>
      <c r="V257" s="187">
        <f t="shared" si="64"/>
        <v>0</v>
      </c>
      <c r="W257" s="187">
        <f t="shared" si="65"/>
        <v>0</v>
      </c>
      <c r="X257" s="187">
        <f t="shared" si="66"/>
        <v>0</v>
      </c>
      <c r="Y257" s="187">
        <f t="shared" si="67"/>
        <v>0</v>
      </c>
      <c r="Z257" s="187">
        <f t="shared" si="68"/>
        <v>-0.91</v>
      </c>
      <c r="AA257" s="183">
        <f t="shared" si="69"/>
        <v>0</v>
      </c>
      <c r="AB257" s="187">
        <f t="shared" si="70"/>
        <v>0</v>
      </c>
      <c r="AC257" s="183">
        <f t="shared" si="71"/>
        <v>0</v>
      </c>
      <c r="AD257" s="188">
        <f t="shared" si="72"/>
        <v>5.4166666668606922E-2</v>
      </c>
      <c r="AE257" s="188">
        <f t="shared" si="73"/>
        <v>0</v>
      </c>
      <c r="AF257" s="188">
        <f t="shared" si="74"/>
        <v>5.4166666668606922E-2</v>
      </c>
      <c r="AG257" s="188">
        <f t="shared" si="75"/>
        <v>0</v>
      </c>
    </row>
    <row r="258" spans="2:33" ht="15" customHeight="1" x14ac:dyDescent="0.15">
      <c r="B258" s="174" t="s">
        <v>5</v>
      </c>
      <c r="C258" s="175" t="s">
        <v>15</v>
      </c>
      <c r="D258" s="176" t="str">
        <f t="shared" si="57"/>
        <v>C</v>
      </c>
      <c r="E258" s="177" t="d">
        <v>2021-09-15T22:44:59.99999979045242400</v>
      </c>
      <c r="F258" s="178" t="s">
        <v>82</v>
      </c>
      <c r="G258" s="179">
        <v>4487.08</v>
      </c>
      <c r="H258" s="179">
        <v>4469.3900000000003</v>
      </c>
      <c r="I258" s="180">
        <f t="shared" si="58"/>
        <v>17.6899999999996</v>
      </c>
      <c r="J258" s="179">
        <v>4602.08</v>
      </c>
      <c r="K258" s="177" t="d">
        <v>2021-09-16T15:08:59.99999987427145575</v>
      </c>
      <c r="L258" s="179">
        <v>4469.3900000000003</v>
      </c>
      <c r="M258" s="181">
        <f t="shared" si="59"/>
        <v>-17.690000000000001</v>
      </c>
      <c r="N258" s="182">
        <f t="shared" si="60"/>
        <v>-1</v>
      </c>
      <c r="O258" s="183">
        <f t="shared" si="61"/>
        <v>0</v>
      </c>
      <c r="P258" s="184">
        <f t="shared" si="62"/>
        <v>0</v>
      </c>
      <c r="Q258" s="184">
        <f t="shared" si="63"/>
        <v>-1</v>
      </c>
      <c r="R25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45027.5</v>
      </c>
      <c r="T25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58" s="186">
        <f ca="1">IF(Tabla33610673[[#This Row],[Equity]]&lt;Tabla33610673[[#This Row],[Equity Peak]],(Tabla33610673[[#This Row],[Equity Peak]]-Tabla33610673[[#This Row],[Equity]])/Tabla33610673[[#This Row],[Equity Peak]],"")</f>
        <v>9.8819173421394971E-2</v>
      </c>
      <c r="V258" s="187">
        <f t="shared" si="64"/>
        <v>0</v>
      </c>
      <c r="W258" s="187">
        <f t="shared" si="65"/>
        <v>0</v>
      </c>
      <c r="X258" s="187">
        <f t="shared" si="66"/>
        <v>0</v>
      </c>
      <c r="Y258" s="187">
        <f t="shared" si="67"/>
        <v>0</v>
      </c>
      <c r="Z258" s="187">
        <f t="shared" si="68"/>
        <v>-1</v>
      </c>
      <c r="AA258" s="183">
        <f t="shared" si="69"/>
        <v>0</v>
      </c>
      <c r="AB258" s="187">
        <f t="shared" si="70"/>
        <v>0</v>
      </c>
      <c r="AC258" s="183">
        <f t="shared" si="71"/>
        <v>0</v>
      </c>
      <c r="AD258" s="188">
        <f t="shared" si="72"/>
        <v>0.68333333333430346</v>
      </c>
      <c r="AE258" s="188">
        <f t="shared" si="73"/>
        <v>0</v>
      </c>
      <c r="AF258" s="188">
        <f t="shared" si="74"/>
        <v>0.68333333333430346</v>
      </c>
      <c r="AG258" s="188">
        <f t="shared" si="75"/>
        <v>0</v>
      </c>
    </row>
    <row r="259" spans="2:33" ht="15" customHeight="1" x14ac:dyDescent="0.15">
      <c r="B259" s="174" t="s">
        <v>5</v>
      </c>
      <c r="C259" s="175" t="s">
        <v>13</v>
      </c>
      <c r="D259" s="176" t="str">
        <f t="shared" si="57"/>
        <v>C</v>
      </c>
      <c r="E259" s="177" t="d">
        <v>2021-09-15T16:44:59.99999979045242400</v>
      </c>
      <c r="F259" s="178" t="s">
        <v>81</v>
      </c>
      <c r="G259" s="179">
        <v>15348.75</v>
      </c>
      <c r="H259" s="179">
        <v>15402.12</v>
      </c>
      <c r="I259" s="180">
        <f t="shared" si="58"/>
        <v>53.3700000000008</v>
      </c>
      <c r="J259" s="179">
        <v>15028.53</v>
      </c>
      <c r="K259" s="177" t="d">
        <v>2021-09-15T19:31:59.99999976251274675</v>
      </c>
      <c r="L259" s="179">
        <v>15402.12</v>
      </c>
      <c r="M259" s="181">
        <f t="shared" si="59"/>
        <v>-53.37</v>
      </c>
      <c r="N259" s="182">
        <f t="shared" si="60"/>
        <v>-1</v>
      </c>
      <c r="O259" s="183">
        <f t="shared" si="61"/>
        <v>0</v>
      </c>
      <c r="P259" s="184">
        <f t="shared" si="62"/>
        <v>0</v>
      </c>
      <c r="Q259" s="184">
        <f t="shared" si="63"/>
        <v>-1</v>
      </c>
      <c r="R25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45277.5</v>
      </c>
      <c r="T25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59" s="186">
        <f ca="1">IF(Tabla33610673[[#This Row],[Equity]]&lt;Tabla33610673[[#This Row],[Equity Peak]],(Tabla33610673[[#This Row],[Equity Peak]]-Tabla33610673[[#This Row],[Equity]])/Tabla33610673[[#This Row],[Equity Peak]],"")</f>
        <v>9.3815670969678772E-2</v>
      </c>
      <c r="V259" s="187">
        <f t="shared" si="64"/>
        <v>0</v>
      </c>
      <c r="W259" s="187">
        <f t="shared" si="65"/>
        <v>0</v>
      </c>
      <c r="X259" s="187">
        <f t="shared" si="66"/>
        <v>0</v>
      </c>
      <c r="Y259" s="187">
        <f t="shared" si="67"/>
        <v>0</v>
      </c>
      <c r="Z259" s="187">
        <f t="shared" si="68"/>
        <v>-1</v>
      </c>
      <c r="AA259" s="183">
        <f t="shared" si="69"/>
        <v>0</v>
      </c>
      <c r="AB259" s="187">
        <f t="shared" si="70"/>
        <v>0</v>
      </c>
      <c r="AC259" s="183">
        <f t="shared" si="71"/>
        <v>0</v>
      </c>
      <c r="AD259" s="188">
        <f t="shared" si="72"/>
        <v>0.11597222222189885</v>
      </c>
      <c r="AE259" s="188">
        <f t="shared" si="73"/>
        <v>0</v>
      </c>
      <c r="AF259" s="188">
        <f t="shared" si="74"/>
        <v>0.11597222222189885</v>
      </c>
      <c r="AG259" s="188">
        <f t="shared" si="75"/>
        <v>0</v>
      </c>
    </row>
    <row r="260" spans="2:33" ht="15" customHeight="1" x14ac:dyDescent="0.15">
      <c r="B260" s="174" t="s">
        <v>7</v>
      </c>
      <c r="C260" s="175" t="s">
        <v>13</v>
      </c>
      <c r="D260" s="176" t="str">
        <f t="shared" si="57"/>
        <v>C</v>
      </c>
      <c r="E260" s="177" t="d">
        <v>2021-09-15T09:14:59.99999979045242400</v>
      </c>
      <c r="F260" s="178" t="s">
        <v>103</v>
      </c>
      <c r="G260" s="179">
        <v>109.506</v>
      </c>
      <c r="H260" s="179">
        <v>109.64100000000001</v>
      </c>
      <c r="I260" s="180">
        <f t="shared" si="58"/>
        <v>0.13500000000000512</v>
      </c>
      <c r="J260" s="179">
        <v>108.658</v>
      </c>
      <c r="K260" s="177" t="d">
        <v>2021-09-15T15:36:59.99999969266355025</v>
      </c>
      <c r="L260" s="179">
        <v>109.295</v>
      </c>
      <c r="M260" s="181">
        <f t="shared" si="59"/>
        <v>0.21099999999999999</v>
      </c>
      <c r="N260" s="182">
        <f t="shared" si="60"/>
        <v>1.56</v>
      </c>
      <c r="O260" s="183">
        <f t="shared" si="61"/>
        <v>0</v>
      </c>
      <c r="P260" s="184">
        <f t="shared" si="62"/>
        <v>1.56</v>
      </c>
      <c r="Q260" s="184">
        <f t="shared" si="63"/>
        <v>0</v>
      </c>
      <c r="R26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45527.5</v>
      </c>
      <c r="T26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60" s="186">
        <f ca="1">IF(Tabla33610673[[#This Row],[Equity]]&lt;Tabla33610673[[#This Row],[Equity Peak]],(Tabla33610673[[#This Row],[Equity Peak]]-Tabla33610673[[#This Row],[Equity]])/Tabla33610673[[#This Row],[Equity Peak]],"")</f>
        <v>8.8812168517962573E-2</v>
      </c>
      <c r="V260" s="187">
        <f t="shared" si="64"/>
        <v>1.56</v>
      </c>
      <c r="W260" s="187">
        <f t="shared" si="65"/>
        <v>0</v>
      </c>
      <c r="X260" s="187">
        <f t="shared" si="66"/>
        <v>0</v>
      </c>
      <c r="Y260" s="187">
        <f t="shared" si="67"/>
        <v>0</v>
      </c>
      <c r="Z260" s="187">
        <f t="shared" si="68"/>
        <v>0</v>
      </c>
      <c r="AA260" s="183">
        <f t="shared" si="69"/>
        <v>0</v>
      </c>
      <c r="AB260" s="187">
        <f t="shared" si="70"/>
        <v>0</v>
      </c>
      <c r="AC260" s="183">
        <f t="shared" si="71"/>
        <v>0</v>
      </c>
      <c r="AD260" s="188">
        <f t="shared" si="72"/>
        <v>0.26527777777664596</v>
      </c>
      <c r="AE260" s="188">
        <f t="shared" si="73"/>
        <v>0.26527777777664596</v>
      </c>
      <c r="AF260" s="188">
        <f t="shared" si="74"/>
        <v>0</v>
      </c>
      <c r="AG260" s="188">
        <f t="shared" si="75"/>
        <v>0</v>
      </c>
    </row>
    <row r="261" spans="2:33" ht="15" customHeight="1" x14ac:dyDescent="0.15">
      <c r="B261" s="174" t="s">
        <v>19</v>
      </c>
      <c r="C261" s="175" t="s">
        <v>15</v>
      </c>
      <c r="D261" s="176" t="str">
        <f t="shared" si="57"/>
        <v>C</v>
      </c>
      <c r="E261" s="177" t="d">
        <v>2021-09-15T15:30:00.00000020954757600</v>
      </c>
      <c r="F261" s="178" t="s">
        <v>77</v>
      </c>
      <c r="G261" s="179">
        <v>1806.75</v>
      </c>
      <c r="H261" s="179">
        <v>1802.26</v>
      </c>
      <c r="I261" s="180">
        <f t="shared" si="58"/>
        <v>4.4900000000000091</v>
      </c>
      <c r="J261" s="179">
        <v>1828.3</v>
      </c>
      <c r="K261" s="177" t="d">
        <v>2021-09-15T15:36:59.99999969266355025</v>
      </c>
      <c r="L261" s="179">
        <v>1802.26</v>
      </c>
      <c r="M261" s="181">
        <f t="shared" si="59"/>
        <v>-4.49</v>
      </c>
      <c r="N261" s="182">
        <f t="shared" si="60"/>
        <v>-1</v>
      </c>
      <c r="O261" s="183">
        <f t="shared" si="61"/>
        <v>0</v>
      </c>
      <c r="P261" s="184">
        <f t="shared" si="62"/>
        <v>0</v>
      </c>
      <c r="Q261" s="184">
        <f t="shared" si="63"/>
        <v>-1</v>
      </c>
      <c r="R26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45137.5</v>
      </c>
      <c r="T26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61" s="186">
        <f ca="1">IF(Tabla33610673[[#This Row],[Equity]]&lt;Tabla33610673[[#This Row],[Equity Peak]],(Tabla33610673[[#This Row],[Equity Peak]]-Tabla33610673[[#This Row],[Equity]])/Tabla33610673[[#This Row],[Equity Peak]],"")</f>
        <v>9.6617632342639842E-2</v>
      </c>
      <c r="V261" s="187">
        <f t="shared" si="64"/>
        <v>0</v>
      </c>
      <c r="W261" s="187">
        <f t="shared" si="65"/>
        <v>0</v>
      </c>
      <c r="X261" s="187">
        <f t="shared" si="66"/>
        <v>-1</v>
      </c>
      <c r="Y261" s="187">
        <f t="shared" si="67"/>
        <v>0</v>
      </c>
      <c r="Z261" s="187">
        <f t="shared" si="68"/>
        <v>0</v>
      </c>
      <c r="AA261" s="183">
        <f t="shared" si="69"/>
        <v>0</v>
      </c>
      <c r="AB261" s="187">
        <f t="shared" si="70"/>
        <v>0</v>
      </c>
      <c r="AC261" s="183">
        <f t="shared" si="71"/>
        <v>0</v>
      </c>
      <c r="AD261" s="188">
        <f t="shared" si="72"/>
        <v>4.8611111051286571E-3</v>
      </c>
      <c r="AE261" s="188">
        <f t="shared" si="73"/>
        <v>0</v>
      </c>
      <c r="AF261" s="188">
        <f t="shared" si="74"/>
        <v>4.8611111051286571E-3</v>
      </c>
      <c r="AG261" s="188">
        <f t="shared" si="75"/>
        <v>0</v>
      </c>
    </row>
    <row r="262" spans="2:33" ht="15" customHeight="1" x14ac:dyDescent="0.15">
      <c r="B262" s="174" t="s">
        <v>7</v>
      </c>
      <c r="C262" s="175" t="s">
        <v>13</v>
      </c>
      <c r="D262" s="176" t="str">
        <f t="shared" si="57"/>
        <v>C</v>
      </c>
      <c r="E262" s="177" t="d">
        <v>2021-09-14T20:15:00.000</v>
      </c>
      <c r="F262" s="178" t="s">
        <v>102</v>
      </c>
      <c r="G262" s="179">
        <v>151.68799999999999</v>
      </c>
      <c r="H262" s="179">
        <v>151.94900000000001</v>
      </c>
      <c r="I262" s="180">
        <f t="shared" si="58"/>
        <v>0.2610000000000241</v>
      </c>
      <c r="J262" s="179">
        <v>150.29499999999999</v>
      </c>
      <c r="K262" s="177" t="d">
        <v>2021-09-15T10:09:00.00000029336660775</v>
      </c>
      <c r="L262" s="179">
        <v>151.542</v>
      </c>
      <c r="M262" s="181">
        <f t="shared" si="59"/>
        <v>0.14599999999999999</v>
      </c>
      <c r="N262" s="182">
        <f t="shared" si="60"/>
        <v>0.56000000000000005</v>
      </c>
      <c r="O262" s="183">
        <f t="shared" si="61"/>
        <v>0</v>
      </c>
      <c r="P262" s="184">
        <f t="shared" si="62"/>
        <v>0.56000000000000005</v>
      </c>
      <c r="Q262" s="184">
        <f t="shared" si="63"/>
        <v>0</v>
      </c>
      <c r="R26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45387.5</v>
      </c>
      <c r="T26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62" s="186">
        <f ca="1">IF(Tabla33610673[[#This Row],[Equity]]&lt;Tabla33610673[[#This Row],[Equity Peak]],(Tabla33610673[[#This Row],[Equity Peak]]-Tabla33610673[[#This Row],[Equity]])/Tabla33610673[[#This Row],[Equity Peak]],"")</f>
        <v>9.1614129890923643E-2</v>
      </c>
      <c r="V262" s="187">
        <f t="shared" si="64"/>
        <v>0.56000000000000005</v>
      </c>
      <c r="W262" s="187">
        <f t="shared" si="65"/>
        <v>0</v>
      </c>
      <c r="X262" s="187">
        <f t="shared" si="66"/>
        <v>0</v>
      </c>
      <c r="Y262" s="187">
        <f t="shared" si="67"/>
        <v>0</v>
      </c>
      <c r="Z262" s="187">
        <f t="shared" si="68"/>
        <v>0</v>
      </c>
      <c r="AA262" s="183">
        <f t="shared" si="69"/>
        <v>0</v>
      </c>
      <c r="AB262" s="187">
        <f t="shared" si="70"/>
        <v>0</v>
      </c>
      <c r="AC262" s="183">
        <f t="shared" si="71"/>
        <v>0</v>
      </c>
      <c r="AD262" s="188">
        <f t="shared" si="72"/>
        <v>0.57916666667006211</v>
      </c>
      <c r="AE262" s="188">
        <f t="shared" si="73"/>
        <v>0.57916666667006211</v>
      </c>
      <c r="AF262" s="188">
        <f t="shared" si="74"/>
        <v>0</v>
      </c>
      <c r="AG262" s="188">
        <f t="shared" si="75"/>
        <v>0</v>
      </c>
    </row>
    <row r="263" spans="2:33" ht="15" customHeight="1" x14ac:dyDescent="0.15">
      <c r="B263" s="174" t="s">
        <v>5</v>
      </c>
      <c r="C263" s="175" t="s">
        <v>13</v>
      </c>
      <c r="D263" s="176" t="str">
        <f t="shared" si="57"/>
        <v>C</v>
      </c>
      <c r="E263" s="177" t="d">
        <v>2021-09-14T17:15:00.000</v>
      </c>
      <c r="F263" s="178" t="s">
        <v>82</v>
      </c>
      <c r="G263" s="179">
        <v>4457.8999999999996</v>
      </c>
      <c r="H263" s="179">
        <v>4474.49</v>
      </c>
      <c r="I263" s="180">
        <f t="shared" si="58"/>
        <v>16.590000000000146</v>
      </c>
      <c r="J263" s="179">
        <v>4350.0600000000004</v>
      </c>
      <c r="K263" s="177" t="d">
        <v>2021-09-15T07:54:59.99999986030161375</v>
      </c>
      <c r="L263" s="179">
        <v>4454.8</v>
      </c>
      <c r="M263" s="181">
        <f t="shared" si="59"/>
        <v>3.1</v>
      </c>
      <c r="N263" s="182">
        <f t="shared" si="60"/>
        <v>0.19</v>
      </c>
      <c r="O263" s="183">
        <f t="shared" si="61"/>
        <v>0</v>
      </c>
      <c r="P263" s="184">
        <f t="shared" si="62"/>
        <v>0.19</v>
      </c>
      <c r="Q263" s="184">
        <f t="shared" si="63"/>
        <v>0</v>
      </c>
      <c r="R26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45247.5</v>
      </c>
      <c r="T26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63" s="186">
        <f ca="1">IF(Tabla33610673[[#This Row],[Equity]]&lt;Tabla33610673[[#This Row],[Equity Peak]],(Tabla33610673[[#This Row],[Equity Peak]]-Tabla33610673[[#This Row],[Equity]])/Tabla33610673[[#This Row],[Equity Peak]],"")</f>
        <v>9.4416091263884713E-2</v>
      </c>
      <c r="V263" s="187">
        <f t="shared" si="64"/>
        <v>0</v>
      </c>
      <c r="W263" s="187">
        <f t="shared" si="65"/>
        <v>0</v>
      </c>
      <c r="X263" s="187">
        <f t="shared" si="66"/>
        <v>0</v>
      </c>
      <c r="Y263" s="187">
        <f t="shared" si="67"/>
        <v>0</v>
      </c>
      <c r="Z263" s="187">
        <f t="shared" si="68"/>
        <v>0.19</v>
      </c>
      <c r="AA263" s="183">
        <f t="shared" si="69"/>
        <v>0</v>
      </c>
      <c r="AB263" s="187">
        <f t="shared" si="70"/>
        <v>0</v>
      </c>
      <c r="AC263" s="183">
        <f t="shared" si="71"/>
        <v>0</v>
      </c>
      <c r="AD263" s="188">
        <f t="shared" si="72"/>
        <v>0.61111111110949423</v>
      </c>
      <c r="AE263" s="188">
        <f t="shared" si="73"/>
        <v>0.61111111110949423</v>
      </c>
      <c r="AF263" s="188">
        <f t="shared" si="74"/>
        <v>0</v>
      </c>
      <c r="AG263" s="188">
        <f t="shared" si="75"/>
        <v>0</v>
      </c>
    </row>
    <row r="264" spans="2:33" ht="15" customHeight="1" x14ac:dyDescent="0.15">
      <c r="B264" s="174" t="s">
        <v>19</v>
      </c>
      <c r="C264" s="175" t="s">
        <v>15</v>
      </c>
      <c r="D264" s="176" t="str">
        <f t="shared" si="57"/>
        <v>C</v>
      </c>
      <c r="E264" s="177" t="d">
        <v>2021-09-14T17:45:00.00000020954757600</v>
      </c>
      <c r="F264" s="178" t="s">
        <v>77</v>
      </c>
      <c r="G264" s="179">
        <v>1806.3</v>
      </c>
      <c r="H264" s="179">
        <v>1801.6</v>
      </c>
      <c r="I264" s="180">
        <f t="shared" si="58"/>
        <v>4.7000000000000455</v>
      </c>
      <c r="J264" s="179">
        <v>1828.88</v>
      </c>
      <c r="K264" s="177" t="d">
        <v>2021-09-15T04:09:00.00000029336660775</v>
      </c>
      <c r="L264" s="179">
        <v>1801.6</v>
      </c>
      <c r="M264" s="181">
        <f t="shared" si="59"/>
        <v>-4.7</v>
      </c>
      <c r="N264" s="182">
        <f t="shared" si="60"/>
        <v>-1</v>
      </c>
      <c r="O264" s="183">
        <f t="shared" si="61"/>
        <v>0</v>
      </c>
      <c r="P264" s="184">
        <f t="shared" si="62"/>
        <v>0</v>
      </c>
      <c r="Q264" s="184">
        <f t="shared" si="63"/>
        <v>-1</v>
      </c>
      <c r="R26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45200</v>
      </c>
      <c r="T26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64" s="186">
        <f ca="1">IF(Tabla33610673[[#This Row],[Equity]]&lt;Tabla33610673[[#This Row],[Equity Peak]],(Tabla33610673[[#This Row],[Equity Peak]]-Tabla33610673[[#This Row],[Equity]])/Tabla33610673[[#This Row],[Equity Peak]],"")</f>
        <v>9.5366756729710803E-2</v>
      </c>
      <c r="V264" s="187">
        <f t="shared" si="64"/>
        <v>0</v>
      </c>
      <c r="W264" s="187">
        <f t="shared" si="65"/>
        <v>0</v>
      </c>
      <c r="X264" s="187">
        <f t="shared" si="66"/>
        <v>-1</v>
      </c>
      <c r="Y264" s="187">
        <f t="shared" si="67"/>
        <v>0</v>
      </c>
      <c r="Z264" s="187">
        <f t="shared" si="68"/>
        <v>0</v>
      </c>
      <c r="AA264" s="183">
        <f t="shared" si="69"/>
        <v>0</v>
      </c>
      <c r="AB264" s="187">
        <f t="shared" si="70"/>
        <v>0</v>
      </c>
      <c r="AC264" s="183">
        <f t="shared" si="71"/>
        <v>0</v>
      </c>
      <c r="AD264" s="188">
        <f t="shared" si="72"/>
        <v>0.43333333333430346</v>
      </c>
      <c r="AE264" s="188">
        <f t="shared" si="73"/>
        <v>0</v>
      </c>
      <c r="AF264" s="188">
        <f t="shared" si="74"/>
        <v>0.43333333333430346</v>
      </c>
      <c r="AG264" s="188">
        <f t="shared" si="75"/>
        <v>0</v>
      </c>
    </row>
    <row r="265" spans="2:33" ht="15" customHeight="1" x14ac:dyDescent="0.15">
      <c r="B265" s="174" t="s">
        <v>7</v>
      </c>
      <c r="C265" s="175" t="s">
        <v>13</v>
      </c>
      <c r="D265" s="176" t="str">
        <f t="shared" si="57"/>
        <v>C</v>
      </c>
      <c r="E265" s="177" t="d">
        <v>2021-09-14T20:29:59.99999979045242400</v>
      </c>
      <c r="F265" s="178" t="s">
        <v>103</v>
      </c>
      <c r="G265" s="179">
        <v>109.533</v>
      </c>
      <c r="H265" s="179">
        <v>109.67400000000001</v>
      </c>
      <c r="I265" s="180">
        <f t="shared" si="58"/>
        <v>0.14100000000000534</v>
      </c>
      <c r="J265" s="179">
        <v>108.646</v>
      </c>
      <c r="K265" s="177" t="d">
        <v>2021-09-14T23:03:00.00000016763806350</v>
      </c>
      <c r="L265" s="179">
        <v>109.67400000000001</v>
      </c>
      <c r="M265" s="181">
        <f t="shared" si="59"/>
        <v>-0.14099999999999999</v>
      </c>
      <c r="N265" s="182">
        <f t="shared" si="60"/>
        <v>-1</v>
      </c>
      <c r="O265" s="183">
        <f t="shared" si="61"/>
        <v>0</v>
      </c>
      <c r="P265" s="184">
        <f t="shared" si="62"/>
        <v>0</v>
      </c>
      <c r="Q265" s="184">
        <f t="shared" si="63"/>
        <v>-1</v>
      </c>
      <c r="R26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45450</v>
      </c>
      <c r="T26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65" s="186">
        <f ca="1">IF(Tabla33610673[[#This Row],[Equity]]&lt;Tabla33610673[[#This Row],[Equity Peak]],(Tabla33610673[[#This Row],[Equity Peak]]-Tabla33610673[[#This Row],[Equity]])/Tabla33610673[[#This Row],[Equity Peak]],"")</f>
        <v>9.036325427799459E-2</v>
      </c>
      <c r="V265" s="187">
        <f t="shared" si="64"/>
        <v>-1</v>
      </c>
      <c r="W265" s="187">
        <f t="shared" si="65"/>
        <v>0</v>
      </c>
      <c r="X265" s="187">
        <f t="shared" si="66"/>
        <v>0</v>
      </c>
      <c r="Y265" s="187">
        <f t="shared" si="67"/>
        <v>0</v>
      </c>
      <c r="Z265" s="187">
        <f t="shared" si="68"/>
        <v>0</v>
      </c>
      <c r="AA265" s="183">
        <f t="shared" si="69"/>
        <v>0</v>
      </c>
      <c r="AB265" s="187">
        <f t="shared" si="70"/>
        <v>0</v>
      </c>
      <c r="AC265" s="183">
        <f t="shared" si="71"/>
        <v>0</v>
      </c>
      <c r="AD265" s="188">
        <f t="shared" si="72"/>
        <v>0.10625000000436557</v>
      </c>
      <c r="AE265" s="188">
        <f t="shared" si="73"/>
        <v>0</v>
      </c>
      <c r="AF265" s="188">
        <f t="shared" si="74"/>
        <v>0.10625000000436557</v>
      </c>
      <c r="AG265" s="188">
        <f t="shared" si="75"/>
        <v>0</v>
      </c>
    </row>
    <row r="266" spans="2:33" ht="15" customHeight="1" x14ac:dyDescent="0.15">
      <c r="B266" s="174" t="s">
        <v>7</v>
      </c>
      <c r="C266" s="175" t="s">
        <v>15</v>
      </c>
      <c r="D266" s="176" t="str">
        <f t="shared" si="57"/>
        <v>C</v>
      </c>
      <c r="E266" s="177" t="d">
        <v>2021-09-14T11:00:00.00000020954757600</v>
      </c>
      <c r="F266" s="178" t="s">
        <v>102</v>
      </c>
      <c r="G266" s="179">
        <v>152.65899999999999</v>
      </c>
      <c r="H266" s="179">
        <v>152.434</v>
      </c>
      <c r="I266" s="180">
        <f t="shared" si="58"/>
        <v>0.22499999999999432</v>
      </c>
      <c r="J266" s="179">
        <v>153.85900000000001</v>
      </c>
      <c r="K266" s="177" t="d">
        <v>2021-09-14T16:54:00.00000029336660775</v>
      </c>
      <c r="L266" s="179">
        <v>152.47</v>
      </c>
      <c r="M266" s="181">
        <f t="shared" si="59"/>
        <v>-0.189</v>
      </c>
      <c r="N266" s="182">
        <f t="shared" si="60"/>
        <v>-0.84</v>
      </c>
      <c r="O266" s="183">
        <f t="shared" si="61"/>
        <v>0</v>
      </c>
      <c r="P266" s="184">
        <f t="shared" si="62"/>
        <v>0</v>
      </c>
      <c r="Q266" s="184">
        <f t="shared" si="63"/>
        <v>-0.84</v>
      </c>
      <c r="R26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45700</v>
      </c>
      <c r="T26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66" s="186">
        <f ca="1">IF(Tabla33610673[[#This Row],[Equity]]&lt;Tabla33610673[[#This Row],[Equity Peak]],(Tabla33610673[[#This Row],[Equity Peak]]-Tabla33610673[[#This Row],[Equity]])/Tabla33610673[[#This Row],[Equity Peak]],"")</f>
        <v>8.5359751826278391E-2</v>
      </c>
      <c r="V266" s="187">
        <f t="shared" si="64"/>
        <v>-0.84</v>
      </c>
      <c r="W266" s="187">
        <f t="shared" si="65"/>
        <v>0</v>
      </c>
      <c r="X266" s="187">
        <f t="shared" si="66"/>
        <v>0</v>
      </c>
      <c r="Y266" s="187">
        <f t="shared" si="67"/>
        <v>0</v>
      </c>
      <c r="Z266" s="187">
        <f t="shared" si="68"/>
        <v>0</v>
      </c>
      <c r="AA266" s="183">
        <f t="shared" si="69"/>
        <v>0</v>
      </c>
      <c r="AB266" s="187">
        <f t="shared" si="70"/>
        <v>0</v>
      </c>
      <c r="AC266" s="183">
        <f t="shared" si="71"/>
        <v>0</v>
      </c>
      <c r="AD266" s="188">
        <f t="shared" si="72"/>
        <v>0.24583333333430346</v>
      </c>
      <c r="AE266" s="188">
        <f t="shared" si="73"/>
        <v>0</v>
      </c>
      <c r="AF266" s="188">
        <f t="shared" si="74"/>
        <v>0.24583333333430346</v>
      </c>
      <c r="AG266" s="188">
        <f t="shared" si="75"/>
        <v>0</v>
      </c>
    </row>
    <row r="267" spans="2:33" ht="15" customHeight="1" x14ac:dyDescent="0.15">
      <c r="B267" s="174" t="s">
        <v>19</v>
      </c>
      <c r="C267" s="175" t="s">
        <v>15</v>
      </c>
      <c r="D267" s="176" t="str">
        <f t="shared" si="57"/>
        <v>C</v>
      </c>
      <c r="E267" s="177" t="d">
        <v>2021-09-14T15:59:59.99999979045242400</v>
      </c>
      <c r="F267" s="178" t="s">
        <v>77</v>
      </c>
      <c r="G267" s="179">
        <v>1797.29</v>
      </c>
      <c r="H267" s="179">
        <v>1792.7</v>
      </c>
      <c r="I267" s="180">
        <f t="shared" si="58"/>
        <v>4.5899999999999181</v>
      </c>
      <c r="J267" s="179">
        <v>1819.31</v>
      </c>
      <c r="K267" s="177" t="d">
        <v>2021-09-14T16:38:59.99999987427145575</v>
      </c>
      <c r="L267" s="179">
        <v>1792.7</v>
      </c>
      <c r="M267" s="181">
        <f t="shared" si="59"/>
        <v>-4.59</v>
      </c>
      <c r="N267" s="182">
        <f t="shared" si="60"/>
        <v>-1</v>
      </c>
      <c r="O267" s="183">
        <f t="shared" si="61"/>
        <v>0</v>
      </c>
      <c r="P267" s="184">
        <f t="shared" si="62"/>
        <v>0</v>
      </c>
      <c r="Q267" s="184">
        <f t="shared" si="63"/>
        <v>-1</v>
      </c>
      <c r="R26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45910</v>
      </c>
      <c r="T26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67" s="186">
        <f ca="1">IF(Tabla33610673[[#This Row],[Equity]]&lt;Tabla33610673[[#This Row],[Equity Peak]],(Tabla33610673[[#This Row],[Equity Peak]]-Tabla33610673[[#This Row],[Equity]])/Tabla33610673[[#This Row],[Equity Peak]],"")</f>
        <v>8.1156809766836785E-2</v>
      </c>
      <c r="V267" s="187">
        <f t="shared" si="64"/>
        <v>0</v>
      </c>
      <c r="W267" s="187">
        <f t="shared" si="65"/>
        <v>0</v>
      </c>
      <c r="X267" s="187">
        <f t="shared" si="66"/>
        <v>-1</v>
      </c>
      <c r="Y267" s="187">
        <f t="shared" si="67"/>
        <v>0</v>
      </c>
      <c r="Z267" s="187">
        <f t="shared" si="68"/>
        <v>0</v>
      </c>
      <c r="AA267" s="183">
        <f t="shared" si="69"/>
        <v>0</v>
      </c>
      <c r="AB267" s="187">
        <f t="shared" si="70"/>
        <v>0</v>
      </c>
      <c r="AC267" s="183">
        <f t="shared" si="71"/>
        <v>0</v>
      </c>
      <c r="AD267" s="188">
        <f t="shared" si="72"/>
        <v>2.7083333334303461E-2</v>
      </c>
      <c r="AE267" s="188">
        <f t="shared" si="73"/>
        <v>0</v>
      </c>
      <c r="AF267" s="188">
        <f t="shared" si="74"/>
        <v>2.7083333334303461E-2</v>
      </c>
      <c r="AG267" s="188">
        <f t="shared" si="75"/>
        <v>0</v>
      </c>
    </row>
    <row r="268" spans="2:33" ht="15" customHeight="1" x14ac:dyDescent="0.15">
      <c r="B268" s="174" t="s">
        <v>19</v>
      </c>
      <c r="C268" s="175" t="s">
        <v>15</v>
      </c>
      <c r="D268" s="176" t="str">
        <f t="shared" si="57"/>
        <v>C</v>
      </c>
      <c r="E268" s="177" t="d">
        <v>2021-09-13T17:00:00.00000020954757600</v>
      </c>
      <c r="F268" s="178" t="s">
        <v>77</v>
      </c>
      <c r="G268" s="179">
        <v>1794.02</v>
      </c>
      <c r="H268" s="179">
        <v>1789.66</v>
      </c>
      <c r="I268" s="180">
        <f t="shared" si="58"/>
        <v>4.3599999999999</v>
      </c>
      <c r="J268" s="179">
        <v>1814.96</v>
      </c>
      <c r="K268" s="177" t="d">
        <v>2021-09-14T11:06:00.00000012572854425</v>
      </c>
      <c r="L268" s="179">
        <v>1789.66</v>
      </c>
      <c r="M268" s="181">
        <f t="shared" si="59"/>
        <v>-4.3600000000000003</v>
      </c>
      <c r="N268" s="182">
        <f t="shared" si="60"/>
        <v>-1</v>
      </c>
      <c r="O268" s="183">
        <f t="shared" si="61"/>
        <v>0</v>
      </c>
      <c r="P268" s="184">
        <f t="shared" si="62"/>
        <v>0</v>
      </c>
      <c r="Q268" s="184">
        <f t="shared" si="63"/>
        <v>-1</v>
      </c>
      <c r="R26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46160</v>
      </c>
      <c r="T26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68" s="186">
        <f ca="1">IF(Tabla33610673[[#This Row],[Equity]]&lt;Tabla33610673[[#This Row],[Equity Peak]],(Tabla33610673[[#This Row],[Equity Peak]]-Tabla33610673[[#This Row],[Equity]])/Tabla33610673[[#This Row],[Equity Peak]],"")</f>
        <v>7.6153307315120586E-2</v>
      </c>
      <c r="V268" s="187">
        <f t="shared" si="64"/>
        <v>0</v>
      </c>
      <c r="W268" s="187">
        <f t="shared" si="65"/>
        <v>0</v>
      </c>
      <c r="X268" s="187">
        <f t="shared" si="66"/>
        <v>-1</v>
      </c>
      <c r="Y268" s="187">
        <f t="shared" si="67"/>
        <v>0</v>
      </c>
      <c r="Z268" s="187">
        <f t="shared" si="68"/>
        <v>0</v>
      </c>
      <c r="AA268" s="183">
        <f t="shared" si="69"/>
        <v>0</v>
      </c>
      <c r="AB268" s="187">
        <f t="shared" si="70"/>
        <v>0</v>
      </c>
      <c r="AC268" s="183">
        <f t="shared" si="71"/>
        <v>0</v>
      </c>
      <c r="AD268" s="188">
        <f t="shared" si="72"/>
        <v>0.75416666666569654</v>
      </c>
      <c r="AE268" s="188">
        <f t="shared" si="73"/>
        <v>0</v>
      </c>
      <c r="AF268" s="188">
        <f t="shared" si="74"/>
        <v>0.75416666666569654</v>
      </c>
      <c r="AG268" s="188">
        <f t="shared" si="75"/>
        <v>0</v>
      </c>
    </row>
    <row r="269" spans="2:33" ht="15" customHeight="1" x14ac:dyDescent="0.15">
      <c r="B269" s="174" t="s">
        <v>5</v>
      </c>
      <c r="C269" s="175" t="s">
        <v>13</v>
      </c>
      <c r="D269" s="176" t="str">
        <f t="shared" si="57"/>
        <v>C</v>
      </c>
      <c r="E269" s="177" t="d">
        <v>2021-09-13T21:14:59.99999979045242400</v>
      </c>
      <c r="F269" s="178" t="s">
        <v>82</v>
      </c>
      <c r="G269" s="179">
        <v>4449.41</v>
      </c>
      <c r="H269" s="179">
        <v>4465.24</v>
      </c>
      <c r="I269" s="180">
        <f t="shared" si="58"/>
        <v>15.829999999999927</v>
      </c>
      <c r="J269" s="179">
        <v>4346.5</v>
      </c>
      <c r="K269" s="177" t="d">
        <v>2021-09-13T22:24:00.00000008381903175</v>
      </c>
      <c r="L269" s="179">
        <v>4464.7700000000004</v>
      </c>
      <c r="M269" s="181">
        <f t="shared" si="59"/>
        <v>-15.36</v>
      </c>
      <c r="N269" s="182">
        <f t="shared" si="60"/>
        <v>-0.97</v>
      </c>
      <c r="O269" s="183">
        <f t="shared" si="61"/>
        <v>0</v>
      </c>
      <c r="P269" s="184">
        <f t="shared" si="62"/>
        <v>0</v>
      </c>
      <c r="Q269" s="184">
        <f t="shared" si="63"/>
        <v>-0.97</v>
      </c>
      <c r="R26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46410</v>
      </c>
      <c r="T26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69" s="186">
        <f ca="1">IF(Tabla33610673[[#This Row],[Equity]]&lt;Tabla33610673[[#This Row],[Equity Peak]],(Tabla33610673[[#This Row],[Equity Peak]]-Tabla33610673[[#This Row],[Equity]])/Tabla33610673[[#This Row],[Equity Peak]],"")</f>
        <v>7.1149804863404387E-2</v>
      </c>
      <c r="V269" s="187">
        <f t="shared" si="64"/>
        <v>0</v>
      </c>
      <c r="W269" s="187">
        <f t="shared" si="65"/>
        <v>0</v>
      </c>
      <c r="X269" s="187">
        <f t="shared" si="66"/>
        <v>0</v>
      </c>
      <c r="Y269" s="187">
        <f t="shared" si="67"/>
        <v>0</v>
      </c>
      <c r="Z269" s="187">
        <f t="shared" si="68"/>
        <v>-0.97</v>
      </c>
      <c r="AA269" s="183">
        <f t="shared" si="69"/>
        <v>0</v>
      </c>
      <c r="AB269" s="187">
        <f t="shared" si="70"/>
        <v>0</v>
      </c>
      <c r="AC269" s="183">
        <f t="shared" si="71"/>
        <v>0</v>
      </c>
      <c r="AD269" s="188">
        <f t="shared" si="72"/>
        <v>4.7916666670062114E-2</v>
      </c>
      <c r="AE269" s="188">
        <f t="shared" si="73"/>
        <v>0</v>
      </c>
      <c r="AF269" s="188">
        <f t="shared" si="74"/>
        <v>4.7916666670062114E-2</v>
      </c>
      <c r="AG269" s="188">
        <f t="shared" si="75"/>
        <v>0</v>
      </c>
    </row>
    <row r="270" spans="2:33" ht="15" customHeight="1" x14ac:dyDescent="0.15">
      <c r="B270" s="174" t="s">
        <v>5</v>
      </c>
      <c r="C270" s="175" t="s">
        <v>13</v>
      </c>
      <c r="D270" s="176" t="str">
        <f t="shared" si="57"/>
        <v>C</v>
      </c>
      <c r="E270" s="177" t="d">
        <v>2021-09-13T17:15:00.000</v>
      </c>
      <c r="F270" s="178" t="s">
        <v>81</v>
      </c>
      <c r="G270" s="179">
        <v>15385.09</v>
      </c>
      <c r="H270" s="179">
        <v>15430.43</v>
      </c>
      <c r="I270" s="180">
        <f t="shared" si="58"/>
        <v>45.340000000000146</v>
      </c>
      <c r="J270" s="179">
        <v>15113.07</v>
      </c>
      <c r="K270" s="177" t="d">
        <v>2021-09-13T17:51:00.00000012572854425</v>
      </c>
      <c r="L270" s="179">
        <v>15430.43</v>
      </c>
      <c r="M270" s="181">
        <f t="shared" si="59"/>
        <v>-45.34</v>
      </c>
      <c r="N270" s="182">
        <f t="shared" si="60"/>
        <v>-1</v>
      </c>
      <c r="O270" s="183">
        <f t="shared" si="61"/>
        <v>0</v>
      </c>
      <c r="P270" s="184">
        <f t="shared" si="62"/>
        <v>0</v>
      </c>
      <c r="Q270" s="184">
        <f t="shared" si="63"/>
        <v>-1</v>
      </c>
      <c r="R27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46652.5</v>
      </c>
      <c r="T27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70" s="186">
        <f ca="1">IF(Tabla33610673[[#This Row],[Equity]]&lt;Tabla33610673[[#This Row],[Equity Peak]],(Tabla33610673[[#This Row],[Equity Peak]]-Tabla33610673[[#This Row],[Equity]])/Tabla33610673[[#This Row],[Equity Peak]],"")</f>
        <v>6.629640748523967E-2</v>
      </c>
      <c r="V270" s="187">
        <f t="shared" si="64"/>
        <v>0</v>
      </c>
      <c r="W270" s="187">
        <f t="shared" si="65"/>
        <v>0</v>
      </c>
      <c r="X270" s="187">
        <f t="shared" si="66"/>
        <v>0</v>
      </c>
      <c r="Y270" s="187">
        <f t="shared" si="67"/>
        <v>0</v>
      </c>
      <c r="Z270" s="187">
        <f t="shared" si="68"/>
        <v>-1</v>
      </c>
      <c r="AA270" s="183">
        <f t="shared" si="69"/>
        <v>0</v>
      </c>
      <c r="AB270" s="187">
        <f t="shared" si="70"/>
        <v>0</v>
      </c>
      <c r="AC270" s="183">
        <f t="shared" si="71"/>
        <v>0</v>
      </c>
      <c r="AD270" s="188">
        <f t="shared" si="72"/>
        <v>2.5000000001455192E-2</v>
      </c>
      <c r="AE270" s="188">
        <f t="shared" si="73"/>
        <v>0</v>
      </c>
      <c r="AF270" s="188">
        <f t="shared" si="74"/>
        <v>2.5000000001455192E-2</v>
      </c>
      <c r="AG270" s="188">
        <f t="shared" si="75"/>
        <v>0</v>
      </c>
    </row>
    <row r="271" spans="2:33" ht="15" customHeight="1" x14ac:dyDescent="0.15">
      <c r="B271" s="174" t="s">
        <v>5</v>
      </c>
      <c r="C271" s="175" t="s">
        <v>13</v>
      </c>
      <c r="D271" s="176" t="str">
        <f t="shared" si="57"/>
        <v>C</v>
      </c>
      <c r="E271" s="177" t="d">
        <v>2021-09-13T08:15:00.000</v>
      </c>
      <c r="F271" s="178" t="s">
        <v>81</v>
      </c>
      <c r="G271" s="179">
        <v>15426.77</v>
      </c>
      <c r="H271" s="179">
        <v>15470.09</v>
      </c>
      <c r="I271" s="180">
        <f t="shared" si="58"/>
        <v>43.319999999999709</v>
      </c>
      <c r="J271" s="179">
        <v>15166.85</v>
      </c>
      <c r="K271" s="177" t="d">
        <v>2021-09-13T09:08:59.99999987427145575</v>
      </c>
      <c r="L271" s="179">
        <v>15470.09</v>
      </c>
      <c r="M271" s="181">
        <f t="shared" si="59"/>
        <v>-43.32</v>
      </c>
      <c r="N271" s="182">
        <f t="shared" si="60"/>
        <v>-1</v>
      </c>
      <c r="O271" s="183">
        <f t="shared" si="61"/>
        <v>0</v>
      </c>
      <c r="P271" s="184">
        <f t="shared" si="62"/>
        <v>0</v>
      </c>
      <c r="Q271" s="184">
        <f t="shared" si="63"/>
        <v>-1</v>
      </c>
      <c r="R27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46902.5</v>
      </c>
      <c r="T27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71" s="186">
        <f ca="1">IF(Tabla33610673[[#This Row],[Equity]]&lt;Tabla33610673[[#This Row],[Equity Peak]],(Tabla33610673[[#This Row],[Equity Peak]]-Tabla33610673[[#This Row],[Equity]])/Tabla33610673[[#This Row],[Equity Peak]],"")</f>
        <v>6.1292905033523463E-2</v>
      </c>
      <c r="V271" s="187">
        <f t="shared" si="64"/>
        <v>0</v>
      </c>
      <c r="W271" s="187">
        <f t="shared" si="65"/>
        <v>0</v>
      </c>
      <c r="X271" s="187">
        <f t="shared" si="66"/>
        <v>0</v>
      </c>
      <c r="Y271" s="187">
        <f t="shared" si="67"/>
        <v>0</v>
      </c>
      <c r="Z271" s="187">
        <f t="shared" si="68"/>
        <v>-1</v>
      </c>
      <c r="AA271" s="183">
        <f t="shared" si="69"/>
        <v>0</v>
      </c>
      <c r="AB271" s="187">
        <f t="shared" si="70"/>
        <v>0</v>
      </c>
      <c r="AC271" s="183">
        <f t="shared" si="71"/>
        <v>0</v>
      </c>
      <c r="AD271" s="188">
        <f t="shared" si="72"/>
        <v>3.7499999998544808E-2</v>
      </c>
      <c r="AE271" s="188">
        <f t="shared" si="73"/>
        <v>0</v>
      </c>
      <c r="AF271" s="188">
        <f t="shared" si="74"/>
        <v>3.7499999998544808E-2</v>
      </c>
      <c r="AG271" s="188">
        <f t="shared" si="75"/>
        <v>0</v>
      </c>
    </row>
    <row r="272" spans="2:33" ht="15" customHeight="1" x14ac:dyDescent="0.15">
      <c r="B272" s="174" t="s">
        <v>5</v>
      </c>
      <c r="C272" s="175" t="s">
        <v>13</v>
      </c>
      <c r="D272" s="176" t="str">
        <f t="shared" si="57"/>
        <v>C</v>
      </c>
      <c r="E272" s="177" t="d">
        <v>2021-09-10T22:30:00.000</v>
      </c>
      <c r="F272" s="178" t="s">
        <v>82</v>
      </c>
      <c r="G272" s="179">
        <v>4472.71</v>
      </c>
      <c r="H272" s="179">
        <v>4485.75</v>
      </c>
      <c r="I272" s="180">
        <f t="shared" si="58"/>
        <v>13.039999999999964</v>
      </c>
      <c r="J272" s="179">
        <v>4387.92</v>
      </c>
      <c r="K272" s="177" t="d">
        <v>2021-09-13T01:54:00.00000029336660775</v>
      </c>
      <c r="L272" s="179">
        <v>4473.34</v>
      </c>
      <c r="M272" s="181">
        <f t="shared" si="59"/>
        <v>-0.63</v>
      </c>
      <c r="N272" s="182">
        <f t="shared" si="60"/>
        <v>-0.05</v>
      </c>
      <c r="O272" s="183">
        <f t="shared" si="61"/>
        <v>0</v>
      </c>
      <c r="P272" s="184">
        <f t="shared" si="62"/>
        <v>0</v>
      </c>
      <c r="Q272" s="184">
        <f t="shared" si="63"/>
        <v>-0.05</v>
      </c>
      <c r="R27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47152.5</v>
      </c>
      <c r="T27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72" s="186">
        <f ca="1">IF(Tabla33610673[[#This Row],[Equity]]&lt;Tabla33610673[[#This Row],[Equity Peak]],(Tabla33610673[[#This Row],[Equity Peak]]-Tabla33610673[[#This Row],[Equity]])/Tabla33610673[[#This Row],[Equity Peak]],"")</f>
        <v>5.6289402581807264E-2</v>
      </c>
      <c r="V272" s="187">
        <f t="shared" si="64"/>
        <v>0</v>
      </c>
      <c r="W272" s="187">
        <f t="shared" si="65"/>
        <v>0</v>
      </c>
      <c r="X272" s="187">
        <f t="shared" si="66"/>
        <v>0</v>
      </c>
      <c r="Y272" s="187">
        <f t="shared" si="67"/>
        <v>0</v>
      </c>
      <c r="Z272" s="187">
        <f t="shared" si="68"/>
        <v>-0.05</v>
      </c>
      <c r="AA272" s="183">
        <f t="shared" si="69"/>
        <v>0</v>
      </c>
      <c r="AB272" s="187">
        <f t="shared" si="70"/>
        <v>0</v>
      </c>
      <c r="AC272" s="183">
        <f t="shared" si="71"/>
        <v>0</v>
      </c>
      <c r="AD272" s="188">
        <f t="shared" si="72"/>
        <v>2.1416666666700621</v>
      </c>
      <c r="AE272" s="188">
        <f t="shared" si="73"/>
        <v>0</v>
      </c>
      <c r="AF272" s="188">
        <f t="shared" si="74"/>
        <v>2.1416666666700621</v>
      </c>
      <c r="AG272" s="188">
        <f t="shared" si="75"/>
        <v>0</v>
      </c>
    </row>
    <row r="273" spans="2:33" ht="15" customHeight="1" x14ac:dyDescent="0.15">
      <c r="B273" s="174" t="s">
        <v>5</v>
      </c>
      <c r="C273" s="175" t="s">
        <v>13</v>
      </c>
      <c r="D273" s="176" t="str">
        <f t="shared" ref="D273:D336" si="76">IF(E273&lt;&gt;"",IF(K273&lt;&gt;"","C","O"),"")</f>
        <v>C</v>
      </c>
      <c r="E273" s="177" t="d">
        <v>2021-09-10T17:45:00.00000020954757600</v>
      </c>
      <c r="F273" s="178" t="s">
        <v>82</v>
      </c>
      <c r="G273" s="179">
        <v>4483.62</v>
      </c>
      <c r="H273" s="179">
        <v>4495.9799999999996</v>
      </c>
      <c r="I273" s="180">
        <f t="shared" ref="I273:I336" si="77">ABS(G273-H273)</f>
        <v>12.359999999999673</v>
      </c>
      <c r="J273" s="179">
        <v>4403.2700000000004</v>
      </c>
      <c r="K273" s="177" t="d">
        <v>2021-09-10T19:09:00.00000029336660775</v>
      </c>
      <c r="L273" s="179">
        <v>4491.76</v>
      </c>
      <c r="M273" s="181">
        <f t="shared" ref="M273:M336" si="78">ROUND(IF(C273="L",(L273-G273),(G273-L273)),4)</f>
        <v>-8.14</v>
      </c>
      <c r="N273" s="182">
        <f t="shared" ref="N273:N336" si="79">IFERROR(ROUND((M273/I273),2),"")</f>
        <v>-0.66</v>
      </c>
      <c r="O273" s="183">
        <f t="shared" ref="O273:O336" si="80">IF(D273="O",IF(N273&lt;0,N273,0),0)</f>
        <v>0</v>
      </c>
      <c r="P273" s="184">
        <f t="shared" ref="P273:P336" si="81">IF(N273&gt;= 0,N273,0)</f>
        <v>0</v>
      </c>
      <c r="Q273" s="184">
        <f t="shared" ref="Q273:Q336" si="82">IF(N273&lt;0,N273,0)</f>
        <v>-0.66</v>
      </c>
      <c r="R27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47165</v>
      </c>
      <c r="T27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73" s="186">
        <f ca="1">IF(Tabla33610673[[#This Row],[Equity]]&lt;Tabla33610673[[#This Row],[Equity Peak]],(Tabla33610673[[#This Row],[Equity Peak]]-Tabla33610673[[#This Row],[Equity]])/Tabla33610673[[#This Row],[Equity Peak]],"")</f>
        <v>5.6039227459221456E-2</v>
      </c>
      <c r="V273" s="187">
        <f t="shared" ref="V273:V336" si="83">IF(B273="FX",N273,0)</f>
        <v>0</v>
      </c>
      <c r="W273" s="187">
        <f t="shared" ref="W273:W336" si="84">IF(D273="O",IF(V273&lt;0,V273,0),0)</f>
        <v>0</v>
      </c>
      <c r="X273" s="187">
        <f t="shared" ref="X273:X336" si="85">IF(B273="COM",N273,0)</f>
        <v>0</v>
      </c>
      <c r="Y273" s="187">
        <f t="shared" ref="Y273:Y336" si="86">IF(D273="O",IF(X273&lt;0,X273,0),0)</f>
        <v>0</v>
      </c>
      <c r="Z273" s="187">
        <f t="shared" ref="Z273:Z336" si="87">IF(B273="IND",N273,0)</f>
        <v>-0.66</v>
      </c>
      <c r="AA273" s="183">
        <f t="shared" ref="AA273:AA336" si="88">IF(D273="O",IF(Z273&lt;0,Z273,0),0)</f>
        <v>0</v>
      </c>
      <c r="AB273" s="187">
        <f t="shared" ref="AB273:AB336" si="89">IF(B273="CRYPTO",N273,0)</f>
        <v>0</v>
      </c>
      <c r="AC273" s="183">
        <f t="shared" ref="AC273:AC336" si="90">IF(D273="O",IF(AB273&lt;0,AB273,0),0)</f>
        <v>0</v>
      </c>
      <c r="AD273" s="188">
        <f t="shared" ref="AD273:AD336" si="91">IF(K273&lt;&gt;"",K273-E273,0)</f>
        <v>5.8333333334303461E-2</v>
      </c>
      <c r="AE273" s="188">
        <f t="shared" ref="AE273:AE336" si="92">IF(N273&gt;0,AD273,0)</f>
        <v>0</v>
      </c>
      <c r="AF273" s="188">
        <f t="shared" ref="AF273:AF336" si="93">IF(N273&lt;0,AD273,0)</f>
        <v>5.8333333334303461E-2</v>
      </c>
      <c r="AG273" s="188">
        <f t="shared" ref="AG273:AG336" si="94">IF(N273=0,AD273,0)</f>
        <v>0</v>
      </c>
    </row>
    <row r="274" spans="2:33" ht="15" customHeight="1" x14ac:dyDescent="0.15">
      <c r="B274" s="174" t="s">
        <v>7</v>
      </c>
      <c r="C274" s="175" t="s">
        <v>15</v>
      </c>
      <c r="D274" s="176" t="str">
        <f t="shared" si="76"/>
        <v>C</v>
      </c>
      <c r="E274" s="177" t="d">
        <v>2021-09-10T09:59:59.99999979045242400</v>
      </c>
      <c r="F274" s="178" t="s">
        <v>102</v>
      </c>
      <c r="G274" s="179">
        <v>152.374</v>
      </c>
      <c r="H274" s="179">
        <v>152.13499999999999</v>
      </c>
      <c r="I274" s="180">
        <f t="shared" si="77"/>
        <v>0.23900000000000432</v>
      </c>
      <c r="J274" s="179">
        <v>153.65100000000001</v>
      </c>
      <c r="K274" s="177" t="d">
        <v>2021-09-10T17:06:59.99999969266355025</v>
      </c>
      <c r="L274" s="179">
        <v>152.292</v>
      </c>
      <c r="M274" s="181">
        <f t="shared" si="78"/>
        <v>-8.2000000000000003E-2</v>
      </c>
      <c r="N274" s="182">
        <f t="shared" si="79"/>
        <v>-0.34</v>
      </c>
      <c r="O274" s="183">
        <f t="shared" si="80"/>
        <v>0</v>
      </c>
      <c r="P274" s="184">
        <f t="shared" si="81"/>
        <v>0</v>
      </c>
      <c r="Q274" s="184">
        <f t="shared" si="82"/>
        <v>-0.34</v>
      </c>
      <c r="R27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47330</v>
      </c>
      <c r="T27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74" s="186">
        <f ca="1">IF(Tabla33610673[[#This Row],[Equity]]&lt;Tabla33610673[[#This Row],[Equity Peak]],(Tabla33610673[[#This Row],[Equity Peak]]-Tabla33610673[[#This Row],[Equity]])/Tabla33610673[[#This Row],[Equity Peak]],"")</f>
        <v>5.2736915841088763E-2</v>
      </c>
      <c r="V274" s="187">
        <f t="shared" si="83"/>
        <v>-0.34</v>
      </c>
      <c r="W274" s="187">
        <f t="shared" si="84"/>
        <v>0</v>
      </c>
      <c r="X274" s="187">
        <f t="shared" si="85"/>
        <v>0</v>
      </c>
      <c r="Y274" s="187">
        <f t="shared" si="86"/>
        <v>0</v>
      </c>
      <c r="Z274" s="187">
        <f t="shared" si="87"/>
        <v>0</v>
      </c>
      <c r="AA274" s="183">
        <f t="shared" si="88"/>
        <v>0</v>
      </c>
      <c r="AB274" s="187">
        <f t="shared" si="89"/>
        <v>0</v>
      </c>
      <c r="AC274" s="183">
        <f t="shared" si="90"/>
        <v>0</v>
      </c>
      <c r="AD274" s="188">
        <f t="shared" si="91"/>
        <v>0.29652777777664596</v>
      </c>
      <c r="AE274" s="188">
        <f t="shared" si="92"/>
        <v>0</v>
      </c>
      <c r="AF274" s="188">
        <f t="shared" si="93"/>
        <v>0.29652777777664596</v>
      </c>
      <c r="AG274" s="188">
        <f t="shared" si="94"/>
        <v>0</v>
      </c>
    </row>
    <row r="275" spans="2:33" ht="15" customHeight="1" x14ac:dyDescent="0.15">
      <c r="B275" s="174" t="s">
        <v>19</v>
      </c>
      <c r="C275" s="175" t="s">
        <v>15</v>
      </c>
      <c r="D275" s="176" t="str">
        <f t="shared" si="76"/>
        <v>C</v>
      </c>
      <c r="E275" s="177" t="d">
        <v>2021-09-10T06:00:00.000</v>
      </c>
      <c r="F275" s="178" t="s">
        <v>77</v>
      </c>
      <c r="G275" s="179">
        <v>1799.89</v>
      </c>
      <c r="H275" s="179">
        <v>1795.73</v>
      </c>
      <c r="I275" s="180">
        <f t="shared" si="77"/>
        <v>4.1600000000000819</v>
      </c>
      <c r="J275" s="179">
        <v>1819.88</v>
      </c>
      <c r="K275" s="177" t="d">
        <v>2021-09-10T13:09:00.00000029336660775</v>
      </c>
      <c r="L275" s="179">
        <v>1795.73</v>
      </c>
      <c r="M275" s="181">
        <f t="shared" si="78"/>
        <v>-4.16</v>
      </c>
      <c r="N275" s="182">
        <f t="shared" si="79"/>
        <v>-1</v>
      </c>
      <c r="O275" s="183">
        <f t="shared" si="80"/>
        <v>0</v>
      </c>
      <c r="P275" s="184">
        <f t="shared" si="81"/>
        <v>0</v>
      </c>
      <c r="Q275" s="184">
        <f t="shared" si="82"/>
        <v>-1</v>
      </c>
      <c r="R27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47415</v>
      </c>
      <c r="T27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75" s="186">
        <f ca="1">IF(Tabla33610673[[#This Row],[Equity]]&lt;Tabla33610673[[#This Row],[Equity Peak]],(Tabla33610673[[#This Row],[Equity Peak]]-Tabla33610673[[#This Row],[Equity]])/Tabla33610673[[#This Row],[Equity Peak]],"")</f>
        <v>5.103572500750525E-2</v>
      </c>
      <c r="V275" s="187">
        <f t="shared" si="83"/>
        <v>0</v>
      </c>
      <c r="W275" s="187">
        <f t="shared" si="84"/>
        <v>0</v>
      </c>
      <c r="X275" s="187">
        <f t="shared" si="85"/>
        <v>-1</v>
      </c>
      <c r="Y275" s="187">
        <f t="shared" si="86"/>
        <v>0</v>
      </c>
      <c r="Z275" s="187">
        <f t="shared" si="87"/>
        <v>0</v>
      </c>
      <c r="AA275" s="183">
        <f t="shared" si="88"/>
        <v>0</v>
      </c>
      <c r="AB275" s="187">
        <f t="shared" si="89"/>
        <v>0</v>
      </c>
      <c r="AC275" s="183">
        <f t="shared" si="90"/>
        <v>0</v>
      </c>
      <c r="AD275" s="188">
        <f t="shared" si="91"/>
        <v>0.29791666667006211</v>
      </c>
      <c r="AE275" s="188">
        <f t="shared" si="92"/>
        <v>0</v>
      </c>
      <c r="AF275" s="188">
        <f t="shared" si="93"/>
        <v>0.29791666667006211</v>
      </c>
      <c r="AG275" s="188">
        <f t="shared" si="94"/>
        <v>0</v>
      </c>
    </row>
    <row r="276" spans="2:33" ht="15" customHeight="1" x14ac:dyDescent="0.15">
      <c r="B276" s="174" t="s">
        <v>5</v>
      </c>
      <c r="C276" s="175" t="s">
        <v>15</v>
      </c>
      <c r="D276" s="176" t="str">
        <f t="shared" si="76"/>
        <v>C</v>
      </c>
      <c r="E276" s="177" t="d">
        <v>2021-09-09T16:44:59.99999979045242400</v>
      </c>
      <c r="F276" s="178" t="s">
        <v>82</v>
      </c>
      <c r="G276" s="179">
        <v>4522.7</v>
      </c>
      <c r="H276" s="179">
        <v>4511.34</v>
      </c>
      <c r="I276" s="180">
        <f t="shared" si="77"/>
        <v>11.359999999999673</v>
      </c>
      <c r="J276" s="179">
        <v>4596.55</v>
      </c>
      <c r="K276" s="177" t="d">
        <v>2021-09-09T18:24:00.00000029336660775</v>
      </c>
      <c r="L276" s="179">
        <v>4516.83</v>
      </c>
      <c r="M276" s="181">
        <f t="shared" si="78"/>
        <v>-5.87</v>
      </c>
      <c r="N276" s="182">
        <f t="shared" si="79"/>
        <v>-0.52</v>
      </c>
      <c r="O276" s="183">
        <f t="shared" si="80"/>
        <v>0</v>
      </c>
      <c r="P276" s="184">
        <f t="shared" si="81"/>
        <v>0</v>
      </c>
      <c r="Q276" s="184">
        <f t="shared" si="82"/>
        <v>-0.52</v>
      </c>
      <c r="R27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47665</v>
      </c>
      <c r="T27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76" s="186">
        <f ca="1">IF(Tabla33610673[[#This Row],[Equity]]&lt;Tabla33610673[[#This Row],[Equity Peak]],(Tabla33610673[[#This Row],[Equity Peak]]-Tabla33610673[[#This Row],[Equity]])/Tabla33610673[[#This Row],[Equity Peak]],"")</f>
        <v>4.6032222555789051E-2</v>
      </c>
      <c r="V276" s="187">
        <f t="shared" si="83"/>
        <v>0</v>
      </c>
      <c r="W276" s="187">
        <f t="shared" si="84"/>
        <v>0</v>
      </c>
      <c r="X276" s="187">
        <f t="shared" si="85"/>
        <v>0</v>
      </c>
      <c r="Y276" s="187">
        <f t="shared" si="86"/>
        <v>0</v>
      </c>
      <c r="Z276" s="187">
        <f t="shared" si="87"/>
        <v>-0.52</v>
      </c>
      <c r="AA276" s="183">
        <f t="shared" si="88"/>
        <v>0</v>
      </c>
      <c r="AB276" s="187">
        <f t="shared" si="89"/>
        <v>0</v>
      </c>
      <c r="AC276" s="183">
        <f t="shared" si="90"/>
        <v>0</v>
      </c>
      <c r="AD276" s="188">
        <f t="shared" si="91"/>
        <v>6.8750000005820766E-2</v>
      </c>
      <c r="AE276" s="188">
        <f t="shared" si="92"/>
        <v>0</v>
      </c>
      <c r="AF276" s="188">
        <f t="shared" si="93"/>
        <v>6.8750000005820766E-2</v>
      </c>
      <c r="AG276" s="188">
        <f t="shared" si="94"/>
        <v>0</v>
      </c>
    </row>
    <row r="277" spans="2:33" ht="15" customHeight="1" x14ac:dyDescent="0.15">
      <c r="B277" s="174" t="s">
        <v>19</v>
      </c>
      <c r="C277" s="175" t="s">
        <v>15</v>
      </c>
      <c r="D277" s="176" t="str">
        <f t="shared" si="76"/>
        <v>C</v>
      </c>
      <c r="E277" s="177" t="d">
        <v>2021-09-09T14:29:59.99999979045242400</v>
      </c>
      <c r="F277" s="178" t="s">
        <v>77</v>
      </c>
      <c r="G277" s="179">
        <v>1799.83</v>
      </c>
      <c r="H277" s="179">
        <v>1795.89</v>
      </c>
      <c r="I277" s="180">
        <f t="shared" si="77"/>
        <v>3.9399999999998272</v>
      </c>
      <c r="J277" s="179">
        <v>1818.74</v>
      </c>
      <c r="K277" s="177" t="d">
        <v>2021-09-09T15:30:00.00000020954757600</v>
      </c>
      <c r="L277" s="179">
        <v>1795.89</v>
      </c>
      <c r="M277" s="181">
        <f t="shared" si="78"/>
        <v>-3.94</v>
      </c>
      <c r="N277" s="182">
        <f t="shared" si="79"/>
        <v>-1</v>
      </c>
      <c r="O277" s="183">
        <f t="shared" si="80"/>
        <v>0</v>
      </c>
      <c r="P277" s="184">
        <f t="shared" si="81"/>
        <v>0</v>
      </c>
      <c r="Q277" s="184">
        <f t="shared" si="82"/>
        <v>-1</v>
      </c>
      <c r="R27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47795</v>
      </c>
      <c r="T27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77" s="186">
        <f ca="1">IF(Tabla33610673[[#This Row],[Equity]]&lt;Tabla33610673[[#This Row],[Equity Peak]],(Tabla33610673[[#This Row],[Equity Peak]]-Tabla33610673[[#This Row],[Equity]])/Tabla33610673[[#This Row],[Equity Peak]],"")</f>
        <v>4.3430401280896626E-2</v>
      </c>
      <c r="V277" s="187">
        <f t="shared" si="83"/>
        <v>0</v>
      </c>
      <c r="W277" s="187">
        <f t="shared" si="84"/>
        <v>0</v>
      </c>
      <c r="X277" s="187">
        <f t="shared" si="85"/>
        <v>-1</v>
      </c>
      <c r="Y277" s="187">
        <f t="shared" si="86"/>
        <v>0</v>
      </c>
      <c r="Z277" s="187">
        <f t="shared" si="87"/>
        <v>0</v>
      </c>
      <c r="AA277" s="183">
        <f t="shared" si="88"/>
        <v>0</v>
      </c>
      <c r="AB277" s="187">
        <f t="shared" si="89"/>
        <v>0</v>
      </c>
      <c r="AC277" s="183">
        <f t="shared" si="90"/>
        <v>0</v>
      </c>
      <c r="AD277" s="188">
        <f t="shared" si="91"/>
        <v>4.1666666671517305E-2</v>
      </c>
      <c r="AE277" s="188">
        <f t="shared" si="92"/>
        <v>0</v>
      </c>
      <c r="AF277" s="188">
        <f t="shared" si="93"/>
        <v>4.1666666671517305E-2</v>
      </c>
      <c r="AG277" s="188">
        <f t="shared" si="94"/>
        <v>0</v>
      </c>
    </row>
    <row r="278" spans="2:33" ht="15" customHeight="1" x14ac:dyDescent="0.15">
      <c r="B278" s="174" t="s">
        <v>5</v>
      </c>
      <c r="C278" s="175" t="s">
        <v>13</v>
      </c>
      <c r="D278" s="176" t="str">
        <f t="shared" si="76"/>
        <v>C</v>
      </c>
      <c r="E278" s="177" t="d">
        <v>2021-09-09T03:59:59.99999979045242400</v>
      </c>
      <c r="F278" s="178" t="s">
        <v>80</v>
      </c>
      <c r="G278" s="179">
        <v>15575.65</v>
      </c>
      <c r="H278" s="179">
        <v>15634.61</v>
      </c>
      <c r="I278" s="180">
        <f t="shared" si="77"/>
        <v>58.960000000000946</v>
      </c>
      <c r="J278" s="179">
        <v>15143.25</v>
      </c>
      <c r="K278" s="177" t="d">
        <v>2021-09-09T14:48:00.00000016763806350</v>
      </c>
      <c r="L278" s="179">
        <v>15591.49</v>
      </c>
      <c r="M278" s="181">
        <f t="shared" si="78"/>
        <v>-15.84</v>
      </c>
      <c r="N278" s="182">
        <f t="shared" si="79"/>
        <v>-0.27</v>
      </c>
      <c r="O278" s="183">
        <f t="shared" si="80"/>
        <v>0</v>
      </c>
      <c r="P278" s="184">
        <f t="shared" si="81"/>
        <v>0</v>
      </c>
      <c r="Q278" s="184">
        <f t="shared" si="82"/>
        <v>-0.27</v>
      </c>
      <c r="R27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48045</v>
      </c>
      <c r="T27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78" s="186">
        <f ca="1">IF(Tabla33610673[[#This Row],[Equity]]&lt;Tabla33610673[[#This Row],[Equity Peak]],(Tabla33610673[[#This Row],[Equity Peak]]-Tabla33610673[[#This Row],[Equity]])/Tabla33610673[[#This Row],[Equity Peak]],"")</f>
        <v>3.8426898829180427E-2</v>
      </c>
      <c r="V278" s="187">
        <f t="shared" si="83"/>
        <v>0</v>
      </c>
      <c r="W278" s="187">
        <f t="shared" si="84"/>
        <v>0</v>
      </c>
      <c r="X278" s="187">
        <f t="shared" si="85"/>
        <v>0</v>
      </c>
      <c r="Y278" s="187">
        <f t="shared" si="86"/>
        <v>0</v>
      </c>
      <c r="Z278" s="187">
        <f t="shared" si="87"/>
        <v>-0.27</v>
      </c>
      <c r="AA278" s="183">
        <f t="shared" si="88"/>
        <v>0</v>
      </c>
      <c r="AB278" s="187">
        <f t="shared" si="89"/>
        <v>0</v>
      </c>
      <c r="AC278" s="183">
        <f t="shared" si="90"/>
        <v>0</v>
      </c>
      <c r="AD278" s="188">
        <f t="shared" si="91"/>
        <v>0.45000000000436557</v>
      </c>
      <c r="AE278" s="188">
        <f t="shared" si="92"/>
        <v>0</v>
      </c>
      <c r="AF278" s="188">
        <f t="shared" si="93"/>
        <v>0.45000000000436557</v>
      </c>
      <c r="AG278" s="188">
        <f t="shared" si="94"/>
        <v>0</v>
      </c>
    </row>
    <row r="279" spans="2:33" ht="15" customHeight="1" x14ac:dyDescent="0.15">
      <c r="B279" s="174" t="s">
        <v>5</v>
      </c>
      <c r="C279" s="175" t="s">
        <v>13</v>
      </c>
      <c r="D279" s="176" t="str">
        <f t="shared" si="76"/>
        <v>C</v>
      </c>
      <c r="E279" s="177" t="d">
        <v>2021-09-08T10:15:00.00000020954757600</v>
      </c>
      <c r="F279" s="178" t="s">
        <v>80</v>
      </c>
      <c r="G279" s="179">
        <v>15661.94</v>
      </c>
      <c r="H279" s="179">
        <v>15702.91</v>
      </c>
      <c r="I279" s="180">
        <f t="shared" si="77"/>
        <v>40.969999999999345</v>
      </c>
      <c r="J279" s="179">
        <v>15361.46</v>
      </c>
      <c r="K279" s="177" t="d">
        <v>2021-09-08T12:49:59.9999997206032275</v>
      </c>
      <c r="L279" s="179">
        <v>15674.88</v>
      </c>
      <c r="M279" s="181">
        <f t="shared" si="78"/>
        <v>-12.94</v>
      </c>
      <c r="N279" s="182">
        <f t="shared" si="79"/>
        <v>-0.32</v>
      </c>
      <c r="O279" s="183">
        <f t="shared" si="80"/>
        <v>0</v>
      </c>
      <c r="P279" s="184">
        <f t="shared" si="81"/>
        <v>0</v>
      </c>
      <c r="Q279" s="184">
        <f t="shared" si="82"/>
        <v>-0.32</v>
      </c>
      <c r="R27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48112.5</v>
      </c>
      <c r="T27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79" s="186">
        <f ca="1">IF(Tabla33610673[[#This Row],[Equity]]&lt;Tabla33610673[[#This Row],[Equity Peak]],(Tabla33610673[[#This Row],[Equity Peak]]-Tabla33610673[[#This Row],[Equity]])/Tabla33610673[[#This Row],[Equity Peak]],"")</f>
        <v>3.7075953167217054E-2</v>
      </c>
      <c r="V279" s="187">
        <f t="shared" si="83"/>
        <v>0</v>
      </c>
      <c r="W279" s="187">
        <f t="shared" si="84"/>
        <v>0</v>
      </c>
      <c r="X279" s="187">
        <f t="shared" si="85"/>
        <v>0</v>
      </c>
      <c r="Y279" s="187">
        <f t="shared" si="86"/>
        <v>0</v>
      </c>
      <c r="Z279" s="187">
        <f t="shared" si="87"/>
        <v>-0.32</v>
      </c>
      <c r="AA279" s="183">
        <f t="shared" si="88"/>
        <v>0</v>
      </c>
      <c r="AB279" s="187">
        <f t="shared" si="89"/>
        <v>0</v>
      </c>
      <c r="AC279" s="183">
        <f t="shared" si="90"/>
        <v>0</v>
      </c>
      <c r="AD279" s="188">
        <f t="shared" si="91"/>
        <v>0.10763888888322981</v>
      </c>
      <c r="AE279" s="188">
        <f t="shared" si="92"/>
        <v>0</v>
      </c>
      <c r="AF279" s="188">
        <f t="shared" si="93"/>
        <v>0.10763888888322981</v>
      </c>
      <c r="AG279" s="188">
        <f t="shared" si="94"/>
        <v>0</v>
      </c>
    </row>
    <row r="280" spans="2:33" ht="15" customHeight="1" x14ac:dyDescent="0.15">
      <c r="B280" s="174" t="s">
        <v>7</v>
      </c>
      <c r="C280" s="175" t="s">
        <v>15</v>
      </c>
      <c r="D280" s="176" t="str">
        <f t="shared" si="76"/>
        <v>C</v>
      </c>
      <c r="E280" s="177" t="d">
        <v>2021-09-08T09:14:59.99999979045242400</v>
      </c>
      <c r="F280" s="178" t="s">
        <v>103</v>
      </c>
      <c r="G280" s="179">
        <v>110.435</v>
      </c>
      <c r="H280" s="179">
        <v>110.30800000000001</v>
      </c>
      <c r="I280" s="180">
        <f t="shared" si="77"/>
        <v>0.12699999999999534</v>
      </c>
      <c r="J280" s="179">
        <v>111.235</v>
      </c>
      <c r="K280" s="177" t="d">
        <v>2021-09-08T10:06:59.99999990221113300</v>
      </c>
      <c r="L280" s="179">
        <v>110.30800000000001</v>
      </c>
      <c r="M280" s="181">
        <f t="shared" si="78"/>
        <v>-0.127</v>
      </c>
      <c r="N280" s="182">
        <f t="shared" si="79"/>
        <v>-1</v>
      </c>
      <c r="O280" s="183">
        <f t="shared" si="80"/>
        <v>0</v>
      </c>
      <c r="P280" s="184">
        <f t="shared" si="81"/>
        <v>0</v>
      </c>
      <c r="Q280" s="184">
        <f t="shared" si="82"/>
        <v>-1</v>
      </c>
      <c r="R28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48192.5</v>
      </c>
      <c r="T28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80" s="186">
        <f ca="1">IF(Tabla33610673[[#This Row],[Equity]]&lt;Tabla33610673[[#This Row],[Equity Peak]],(Tabla33610673[[#This Row],[Equity Peak]]-Tabla33610673[[#This Row],[Equity]])/Tabla33610673[[#This Row],[Equity Peak]],"")</f>
        <v>3.5474832382667867E-2</v>
      </c>
      <c r="V280" s="187">
        <f t="shared" si="83"/>
        <v>-1</v>
      </c>
      <c r="W280" s="187">
        <f t="shared" si="84"/>
        <v>0</v>
      </c>
      <c r="X280" s="187">
        <f t="shared" si="85"/>
        <v>0</v>
      </c>
      <c r="Y280" s="187">
        <f t="shared" si="86"/>
        <v>0</v>
      </c>
      <c r="Z280" s="187">
        <f t="shared" si="87"/>
        <v>0</v>
      </c>
      <c r="AA280" s="183">
        <f t="shared" si="88"/>
        <v>0</v>
      </c>
      <c r="AB280" s="187">
        <f t="shared" si="89"/>
        <v>0</v>
      </c>
      <c r="AC280" s="183">
        <f t="shared" si="90"/>
        <v>0</v>
      </c>
      <c r="AD280" s="188">
        <f t="shared" si="91"/>
        <v>3.6111111112404615E-2</v>
      </c>
      <c r="AE280" s="188">
        <f t="shared" si="92"/>
        <v>0</v>
      </c>
      <c r="AF280" s="188">
        <f t="shared" si="93"/>
        <v>3.6111111112404615E-2</v>
      </c>
      <c r="AG280" s="188">
        <f t="shared" si="94"/>
        <v>0</v>
      </c>
    </row>
    <row r="281" spans="2:33" ht="15" customHeight="1" x14ac:dyDescent="0.15">
      <c r="B281" s="174" t="s">
        <v>5</v>
      </c>
      <c r="C281" s="175" t="s">
        <v>13</v>
      </c>
      <c r="D281" s="176" t="str">
        <f t="shared" si="76"/>
        <v>C</v>
      </c>
      <c r="E281" s="177" t="d">
        <v>2021-09-07T16:44:59.99999979045242400</v>
      </c>
      <c r="F281" s="178" t="s">
        <v>82</v>
      </c>
      <c r="G281" s="179">
        <v>4525.47</v>
      </c>
      <c r="H281" s="179">
        <v>4534.59</v>
      </c>
      <c r="I281" s="180">
        <f t="shared" si="77"/>
        <v>9.1199999999998909</v>
      </c>
      <c r="J281" s="179">
        <v>4466.18</v>
      </c>
      <c r="K281" s="177" t="d">
        <v>2021-09-07T19:09:00.00000029336660775</v>
      </c>
      <c r="L281" s="179">
        <v>4524.3</v>
      </c>
      <c r="M281" s="181">
        <f t="shared" si="78"/>
        <v>1.17</v>
      </c>
      <c r="N281" s="182">
        <f t="shared" si="79"/>
        <v>0.13</v>
      </c>
      <c r="O281" s="183">
        <f t="shared" si="80"/>
        <v>0</v>
      </c>
      <c r="P281" s="184">
        <f t="shared" si="81"/>
        <v>0.13</v>
      </c>
      <c r="Q281" s="184">
        <f t="shared" si="82"/>
        <v>0</v>
      </c>
      <c r="R28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48442.5</v>
      </c>
      <c r="T28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81" s="186">
        <f ca="1">IF(Tabla33610673[[#This Row],[Equity]]&lt;Tabla33610673[[#This Row],[Equity Peak]],(Tabla33610673[[#This Row],[Equity Peak]]-Tabla33610673[[#This Row],[Equity]])/Tabla33610673[[#This Row],[Equity Peak]],"")</f>
        <v>3.0471329930951665E-2</v>
      </c>
      <c r="V281" s="187">
        <f t="shared" si="83"/>
        <v>0</v>
      </c>
      <c r="W281" s="187">
        <f t="shared" si="84"/>
        <v>0</v>
      </c>
      <c r="X281" s="187">
        <f t="shared" si="85"/>
        <v>0</v>
      </c>
      <c r="Y281" s="187">
        <f t="shared" si="86"/>
        <v>0</v>
      </c>
      <c r="Z281" s="187">
        <f t="shared" si="87"/>
        <v>0.13</v>
      </c>
      <c r="AA281" s="183">
        <f t="shared" si="88"/>
        <v>0</v>
      </c>
      <c r="AB281" s="187">
        <f t="shared" si="89"/>
        <v>0</v>
      </c>
      <c r="AC281" s="183">
        <f t="shared" si="90"/>
        <v>0</v>
      </c>
      <c r="AD281" s="188">
        <f t="shared" si="91"/>
        <v>0.10000000000582077</v>
      </c>
      <c r="AE281" s="188">
        <f t="shared" si="92"/>
        <v>0.10000000000582077</v>
      </c>
      <c r="AF281" s="188">
        <f t="shared" si="93"/>
        <v>0</v>
      </c>
      <c r="AG281" s="188">
        <f t="shared" si="94"/>
        <v>0</v>
      </c>
    </row>
    <row r="282" spans="2:33" ht="15" customHeight="1" x14ac:dyDescent="0.15">
      <c r="B282" s="174" t="s">
        <v>7</v>
      </c>
      <c r="C282" s="175" t="s">
        <v>13</v>
      </c>
      <c r="D282" s="176" t="str">
        <f t="shared" si="76"/>
        <v>C</v>
      </c>
      <c r="E282" s="177" t="d">
        <v>2021-09-07T15:00:00.000</v>
      </c>
      <c r="F282" s="178" t="s">
        <v>102</v>
      </c>
      <c r="G282" s="179">
        <v>151.553</v>
      </c>
      <c r="H282" s="179">
        <v>151.77099999999999</v>
      </c>
      <c r="I282" s="180">
        <f t="shared" si="77"/>
        <v>0.21799999999998931</v>
      </c>
      <c r="J282" s="179">
        <v>150.38999999999999</v>
      </c>
      <c r="K282" s="177" t="d">
        <v>2021-09-07T16:06:59.99999990221113300</v>
      </c>
      <c r="L282" s="179">
        <v>151.77099999999999</v>
      </c>
      <c r="M282" s="181">
        <f t="shared" si="78"/>
        <v>-0.218</v>
      </c>
      <c r="N282" s="182">
        <f t="shared" si="79"/>
        <v>-1</v>
      </c>
      <c r="O282" s="183">
        <f t="shared" si="80"/>
        <v>0</v>
      </c>
      <c r="P282" s="184">
        <f t="shared" si="81"/>
        <v>0</v>
      </c>
      <c r="Q282" s="184">
        <f t="shared" si="82"/>
        <v>-1</v>
      </c>
      <c r="R28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48410</v>
      </c>
      <c r="T28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82" s="186">
        <f ca="1">IF(Tabla33610673[[#This Row],[Equity]]&lt;Tabla33610673[[#This Row],[Equity Peak]],(Tabla33610673[[#This Row],[Equity Peak]]-Tabla33610673[[#This Row],[Equity]])/Tabla33610673[[#This Row],[Equity Peak]],"")</f>
        <v>3.1121785249674773E-2</v>
      </c>
      <c r="V282" s="187">
        <f t="shared" si="83"/>
        <v>-1</v>
      </c>
      <c r="W282" s="187">
        <f t="shared" si="84"/>
        <v>0</v>
      </c>
      <c r="X282" s="187">
        <f t="shared" si="85"/>
        <v>0</v>
      </c>
      <c r="Y282" s="187">
        <f t="shared" si="86"/>
        <v>0</v>
      </c>
      <c r="Z282" s="187">
        <f t="shared" si="87"/>
        <v>0</v>
      </c>
      <c r="AA282" s="183">
        <f t="shared" si="88"/>
        <v>0</v>
      </c>
      <c r="AB282" s="187">
        <f t="shared" si="89"/>
        <v>0</v>
      </c>
      <c r="AC282" s="183">
        <f t="shared" si="90"/>
        <v>0</v>
      </c>
      <c r="AD282" s="188">
        <f t="shared" si="91"/>
        <v>4.6527777776645962E-2</v>
      </c>
      <c r="AE282" s="188">
        <f t="shared" si="92"/>
        <v>0</v>
      </c>
      <c r="AF282" s="188">
        <f t="shared" si="93"/>
        <v>4.6527777776645962E-2</v>
      </c>
      <c r="AG282" s="188">
        <f t="shared" si="94"/>
        <v>0</v>
      </c>
    </row>
    <row r="283" spans="2:33" ht="15" customHeight="1" x14ac:dyDescent="0.15">
      <c r="B283" s="174" t="s">
        <v>5</v>
      </c>
      <c r="C283" s="175" t="s">
        <v>15</v>
      </c>
      <c r="D283" s="176" t="str">
        <f t="shared" si="76"/>
        <v>C</v>
      </c>
      <c r="E283" s="177" t="d">
        <v>2021-09-06T09:00:00.000</v>
      </c>
      <c r="F283" s="178" t="s">
        <v>81</v>
      </c>
      <c r="G283" s="179">
        <v>15678.2</v>
      </c>
      <c r="H283" s="179">
        <v>15643.88</v>
      </c>
      <c r="I283" s="180">
        <f t="shared" si="77"/>
        <v>34.320000000001528</v>
      </c>
      <c r="J283" s="179">
        <v>15884.13</v>
      </c>
      <c r="K283" s="177" t="d">
        <v>2021-09-07T11:06:59.99999969266355025</v>
      </c>
      <c r="L283" s="179">
        <v>15656.9</v>
      </c>
      <c r="M283" s="181">
        <f t="shared" si="78"/>
        <v>-21.3</v>
      </c>
      <c r="N283" s="182">
        <f t="shared" si="79"/>
        <v>-0.62</v>
      </c>
      <c r="O283" s="183">
        <f t="shared" si="80"/>
        <v>0</v>
      </c>
      <c r="P283" s="184">
        <f t="shared" si="81"/>
        <v>0</v>
      </c>
      <c r="Q283" s="184">
        <f t="shared" si="82"/>
        <v>-0.62</v>
      </c>
      <c r="R28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48660</v>
      </c>
      <c r="T28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83" s="186">
        <f ca="1">IF(Tabla33610673[[#This Row],[Equity]]&lt;Tabla33610673[[#This Row],[Equity Peak]],(Tabla33610673[[#This Row],[Equity Peak]]-Tabla33610673[[#This Row],[Equity]])/Tabla33610673[[#This Row],[Equity Peak]],"")</f>
        <v>2.611828279795857E-2</v>
      </c>
      <c r="V283" s="187">
        <f t="shared" si="83"/>
        <v>0</v>
      </c>
      <c r="W283" s="187">
        <f t="shared" si="84"/>
        <v>0</v>
      </c>
      <c r="X283" s="187">
        <f t="shared" si="85"/>
        <v>0</v>
      </c>
      <c r="Y283" s="187">
        <f t="shared" si="86"/>
        <v>0</v>
      </c>
      <c r="Z283" s="187">
        <f t="shared" si="87"/>
        <v>-0.62</v>
      </c>
      <c r="AA283" s="183">
        <f t="shared" si="88"/>
        <v>0</v>
      </c>
      <c r="AB283" s="187">
        <f t="shared" si="89"/>
        <v>0</v>
      </c>
      <c r="AC283" s="183">
        <f t="shared" si="90"/>
        <v>0</v>
      </c>
      <c r="AD283" s="188">
        <f t="shared" si="91"/>
        <v>1.0881944444408873</v>
      </c>
      <c r="AE283" s="188">
        <f t="shared" si="92"/>
        <v>0</v>
      </c>
      <c r="AF283" s="188">
        <f t="shared" si="93"/>
        <v>1.0881944444408873</v>
      </c>
      <c r="AG283" s="188">
        <f t="shared" si="94"/>
        <v>0</v>
      </c>
    </row>
    <row r="284" spans="2:33" ht="15" customHeight="1" x14ac:dyDescent="0.15">
      <c r="B284" s="174" t="s">
        <v>5</v>
      </c>
      <c r="C284" s="175" t="s">
        <v>15</v>
      </c>
      <c r="D284" s="176" t="str">
        <f t="shared" si="76"/>
        <v>C</v>
      </c>
      <c r="E284" s="177" t="d">
        <v>2021-09-06T09:30:00.00000020954757600</v>
      </c>
      <c r="F284" s="178" t="s">
        <v>82</v>
      </c>
      <c r="G284" s="179">
        <v>4542.55</v>
      </c>
      <c r="H284" s="179">
        <v>4532.5200000000004</v>
      </c>
      <c r="I284" s="180">
        <f t="shared" si="77"/>
        <v>10.029999999999745</v>
      </c>
      <c r="J284" s="179">
        <v>4607.7299999999996</v>
      </c>
      <c r="K284" s="177" t="d">
        <v>2021-09-07T03:04:00.00000015366822150</v>
      </c>
      <c r="L284" s="179">
        <v>4539.3999999999996</v>
      </c>
      <c r="M284" s="181">
        <f t="shared" si="78"/>
        <v>-3.15</v>
      </c>
      <c r="N284" s="182">
        <f t="shared" si="79"/>
        <v>-0.31</v>
      </c>
      <c r="O284" s="183">
        <f t="shared" si="80"/>
        <v>0</v>
      </c>
      <c r="P284" s="184">
        <f t="shared" si="81"/>
        <v>0</v>
      </c>
      <c r="Q284" s="184">
        <f t="shared" si="82"/>
        <v>-0.31</v>
      </c>
      <c r="R28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48815</v>
      </c>
      <c r="T28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84" s="186">
        <f ca="1">IF(Tabla33610673[[#This Row],[Equity]]&lt;Tabla33610673[[#This Row],[Equity Peak]],(Tabla33610673[[#This Row],[Equity Peak]]-Tabla33610673[[#This Row],[Equity]])/Tabla33610673[[#This Row],[Equity Peak]],"")</f>
        <v>2.3016111277894526E-2</v>
      </c>
      <c r="V284" s="187">
        <f t="shared" si="83"/>
        <v>0</v>
      </c>
      <c r="W284" s="187">
        <f t="shared" si="84"/>
        <v>0</v>
      </c>
      <c r="X284" s="187">
        <f t="shared" si="85"/>
        <v>0</v>
      </c>
      <c r="Y284" s="187">
        <f t="shared" si="86"/>
        <v>0</v>
      </c>
      <c r="Z284" s="187">
        <f t="shared" si="87"/>
        <v>-0.31</v>
      </c>
      <c r="AA284" s="183">
        <f t="shared" si="88"/>
        <v>0</v>
      </c>
      <c r="AB284" s="187">
        <f t="shared" si="89"/>
        <v>0</v>
      </c>
      <c r="AC284" s="183">
        <f t="shared" si="90"/>
        <v>0</v>
      </c>
      <c r="AD284" s="188">
        <f t="shared" si="91"/>
        <v>0.73194444444379769</v>
      </c>
      <c r="AE284" s="188">
        <f t="shared" si="92"/>
        <v>0</v>
      </c>
      <c r="AF284" s="188">
        <f t="shared" si="93"/>
        <v>0.73194444444379769</v>
      </c>
      <c r="AG284" s="188">
        <f t="shared" si="94"/>
        <v>0</v>
      </c>
    </row>
    <row r="285" spans="2:33" ht="15" customHeight="1" x14ac:dyDescent="0.15">
      <c r="B285" s="174" t="s">
        <v>5</v>
      </c>
      <c r="C285" s="175" t="s">
        <v>13</v>
      </c>
      <c r="D285" s="176" t="str">
        <f t="shared" si="76"/>
        <v>C</v>
      </c>
      <c r="E285" s="177" t="d">
        <v>2021-09-03T16:30:00.000</v>
      </c>
      <c r="F285" s="178" t="s">
        <v>80</v>
      </c>
      <c r="G285" s="179">
        <v>15718.91</v>
      </c>
      <c r="H285" s="179">
        <v>15759.25</v>
      </c>
      <c r="I285" s="180">
        <f t="shared" si="77"/>
        <v>40.340000000000146</v>
      </c>
      <c r="J285" s="179">
        <v>15423.09</v>
      </c>
      <c r="K285" s="177" t="d">
        <v>2021-09-03T17:30:59.99999998603016475</v>
      </c>
      <c r="L285" s="179">
        <v>15759.25</v>
      </c>
      <c r="M285" s="181">
        <f t="shared" si="78"/>
        <v>-40.340000000000003</v>
      </c>
      <c r="N285" s="182">
        <f t="shared" si="79"/>
        <v>-1</v>
      </c>
      <c r="O285" s="183">
        <f t="shared" si="80"/>
        <v>0</v>
      </c>
      <c r="P285" s="184">
        <f t="shared" si="81"/>
        <v>0</v>
      </c>
      <c r="Q285" s="184">
        <f t="shared" si="82"/>
        <v>-1</v>
      </c>
      <c r="R28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48892.5</v>
      </c>
      <c r="T28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85" s="186">
        <f ca="1">IF(Tabla33610673[[#This Row],[Equity]]&lt;Tabla33610673[[#This Row],[Equity Peak]],(Tabla33610673[[#This Row],[Equity Peak]]-Tabla33610673[[#This Row],[Equity]])/Tabla33610673[[#This Row],[Equity Peak]],"")</f>
        <v>2.1465025517862505E-2</v>
      </c>
      <c r="V285" s="187">
        <f t="shared" si="83"/>
        <v>0</v>
      </c>
      <c r="W285" s="187">
        <f t="shared" si="84"/>
        <v>0</v>
      </c>
      <c r="X285" s="187">
        <f t="shared" si="85"/>
        <v>0</v>
      </c>
      <c r="Y285" s="187">
        <f t="shared" si="86"/>
        <v>0</v>
      </c>
      <c r="Z285" s="187">
        <f t="shared" si="87"/>
        <v>-1</v>
      </c>
      <c r="AA285" s="183">
        <f t="shared" si="88"/>
        <v>0</v>
      </c>
      <c r="AB285" s="187">
        <f t="shared" si="89"/>
        <v>0</v>
      </c>
      <c r="AC285" s="183">
        <f t="shared" si="90"/>
        <v>0</v>
      </c>
      <c r="AD285" s="188">
        <f t="shared" si="91"/>
        <v>4.2361111110949423E-2</v>
      </c>
      <c r="AE285" s="188">
        <f t="shared" si="92"/>
        <v>0</v>
      </c>
      <c r="AF285" s="188">
        <f t="shared" si="93"/>
        <v>4.2361111110949423E-2</v>
      </c>
      <c r="AG285" s="188">
        <f t="shared" si="94"/>
        <v>0</v>
      </c>
    </row>
    <row r="286" spans="2:33" ht="15" customHeight="1" x14ac:dyDescent="0.15">
      <c r="B286" s="174" t="s">
        <v>19</v>
      </c>
      <c r="C286" s="175" t="s">
        <v>15</v>
      </c>
      <c r="D286" s="176" t="str">
        <f t="shared" si="76"/>
        <v>C</v>
      </c>
      <c r="E286" s="177" t="d">
        <v>2021-09-03T05:29:59.99999979045242400</v>
      </c>
      <c r="F286" s="178" t="s">
        <v>77</v>
      </c>
      <c r="G286" s="179">
        <v>1814.06</v>
      </c>
      <c r="H286" s="179">
        <v>1810.01</v>
      </c>
      <c r="I286" s="180">
        <f t="shared" si="77"/>
        <v>4.0499999999999545</v>
      </c>
      <c r="J286" s="179">
        <v>1833.5</v>
      </c>
      <c r="K286" s="177" t="d">
        <v>2021-09-03T16:38:59.99999987427145575</v>
      </c>
      <c r="L286" s="179">
        <v>1820.71</v>
      </c>
      <c r="M286" s="181">
        <f t="shared" si="78"/>
        <v>6.65</v>
      </c>
      <c r="N286" s="182">
        <f t="shared" si="79"/>
        <v>1.64</v>
      </c>
      <c r="O286" s="183">
        <f t="shared" si="80"/>
        <v>0</v>
      </c>
      <c r="P286" s="184">
        <f t="shared" si="81"/>
        <v>1.64</v>
      </c>
      <c r="Q286" s="184">
        <f t="shared" si="82"/>
        <v>0</v>
      </c>
      <c r="R28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49142.5</v>
      </c>
      <c r="T28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86" s="186">
        <f ca="1">IF(Tabla33610673[[#This Row],[Equity]]&lt;Tabla33610673[[#This Row],[Equity Peak]],(Tabla33610673[[#This Row],[Equity Peak]]-Tabla33610673[[#This Row],[Equity]])/Tabla33610673[[#This Row],[Equity Peak]],"")</f>
        <v>1.6461523066146302E-2</v>
      </c>
      <c r="V286" s="187">
        <f t="shared" si="83"/>
        <v>0</v>
      </c>
      <c r="W286" s="187">
        <f t="shared" si="84"/>
        <v>0</v>
      </c>
      <c r="X286" s="187">
        <f t="shared" si="85"/>
        <v>1.64</v>
      </c>
      <c r="Y286" s="187">
        <f t="shared" si="86"/>
        <v>0</v>
      </c>
      <c r="Z286" s="187">
        <f t="shared" si="87"/>
        <v>0</v>
      </c>
      <c r="AA286" s="183">
        <f t="shared" si="88"/>
        <v>0</v>
      </c>
      <c r="AB286" s="187">
        <f t="shared" si="89"/>
        <v>0</v>
      </c>
      <c r="AC286" s="183">
        <f t="shared" si="90"/>
        <v>0</v>
      </c>
      <c r="AD286" s="188">
        <f t="shared" si="91"/>
        <v>0.46458333333430346</v>
      </c>
      <c r="AE286" s="188">
        <f t="shared" si="92"/>
        <v>0.46458333333430346</v>
      </c>
      <c r="AF286" s="188">
        <f t="shared" si="93"/>
        <v>0</v>
      </c>
      <c r="AG286" s="188">
        <f t="shared" si="94"/>
        <v>0</v>
      </c>
    </row>
    <row r="287" spans="2:33" ht="15" customHeight="1" x14ac:dyDescent="0.15">
      <c r="B287" s="174" t="s">
        <v>5</v>
      </c>
      <c r="C287" s="175" t="s">
        <v>15</v>
      </c>
      <c r="D287" s="176" t="str">
        <f t="shared" si="76"/>
        <v>C</v>
      </c>
      <c r="E287" s="177" t="d">
        <v>2021-09-03T06:00:00.000</v>
      </c>
      <c r="F287" s="178" t="s">
        <v>82</v>
      </c>
      <c r="G287" s="179">
        <v>4547.09</v>
      </c>
      <c r="H287" s="179">
        <v>4536.95</v>
      </c>
      <c r="I287" s="180">
        <f t="shared" si="77"/>
        <v>10.140000000000327</v>
      </c>
      <c r="J287" s="179">
        <v>4612.99</v>
      </c>
      <c r="K287" s="177" t="d">
        <v>2021-09-03T15:39:00.00000008381903175</v>
      </c>
      <c r="L287" s="179">
        <v>4536.95</v>
      </c>
      <c r="M287" s="181">
        <f t="shared" si="78"/>
        <v>-10.14</v>
      </c>
      <c r="N287" s="182">
        <f t="shared" si="79"/>
        <v>-1</v>
      </c>
      <c r="O287" s="183">
        <f t="shared" si="80"/>
        <v>0</v>
      </c>
      <c r="P287" s="184">
        <f t="shared" si="81"/>
        <v>0</v>
      </c>
      <c r="Q287" s="184">
        <f t="shared" si="82"/>
        <v>-1</v>
      </c>
      <c r="R28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48732.5</v>
      </c>
      <c r="T28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87" s="186">
        <f ca="1">IF(Tabla33610673[[#This Row],[Equity]]&lt;Tabla33610673[[#This Row],[Equity Peak]],(Tabla33610673[[#This Row],[Equity Peak]]-Tabla33610673[[#This Row],[Equity]])/Tabla33610673[[#This Row],[Equity Peak]],"")</f>
        <v>2.4667267086960872E-2</v>
      </c>
      <c r="V287" s="187">
        <f t="shared" si="83"/>
        <v>0</v>
      </c>
      <c r="W287" s="187">
        <f t="shared" si="84"/>
        <v>0</v>
      </c>
      <c r="X287" s="187">
        <f t="shared" si="85"/>
        <v>0</v>
      </c>
      <c r="Y287" s="187">
        <f t="shared" si="86"/>
        <v>0</v>
      </c>
      <c r="Z287" s="187">
        <f t="shared" si="87"/>
        <v>-1</v>
      </c>
      <c r="AA287" s="183">
        <f t="shared" si="88"/>
        <v>0</v>
      </c>
      <c r="AB287" s="187">
        <f t="shared" si="89"/>
        <v>0</v>
      </c>
      <c r="AC287" s="183">
        <f t="shared" si="90"/>
        <v>0</v>
      </c>
      <c r="AD287" s="188">
        <f t="shared" si="91"/>
        <v>0.40208333333430346</v>
      </c>
      <c r="AE287" s="188">
        <f t="shared" si="92"/>
        <v>0</v>
      </c>
      <c r="AF287" s="188">
        <f t="shared" si="93"/>
        <v>0.40208333333430346</v>
      </c>
      <c r="AG287" s="188">
        <f t="shared" si="94"/>
        <v>0</v>
      </c>
    </row>
    <row r="288" spans="2:33" ht="15" customHeight="1" x14ac:dyDescent="0.15">
      <c r="B288" s="174" t="s">
        <v>7</v>
      </c>
      <c r="C288" s="175" t="s">
        <v>15</v>
      </c>
      <c r="D288" s="176" t="str">
        <f t="shared" si="76"/>
        <v>C</v>
      </c>
      <c r="E288" s="177" t="d">
        <v>2021-09-02T17:00:00.00000020954757600</v>
      </c>
      <c r="F288" s="178" t="s">
        <v>102</v>
      </c>
      <c r="G288" s="179">
        <v>151.99299999999999</v>
      </c>
      <c r="H288" s="179">
        <v>151.76</v>
      </c>
      <c r="I288" s="180">
        <f t="shared" si="77"/>
        <v>0.23300000000000409</v>
      </c>
      <c r="J288" s="179">
        <v>153.23699999999999</v>
      </c>
      <c r="K288" s="177" t="d">
        <v>2021-09-03T13:09:00.00000029336660775</v>
      </c>
      <c r="L288" s="179">
        <v>152.012</v>
      </c>
      <c r="M288" s="181">
        <f t="shared" si="78"/>
        <v>1.9E-2</v>
      </c>
      <c r="N288" s="182">
        <f t="shared" si="79"/>
        <v>0.08</v>
      </c>
      <c r="O288" s="183">
        <f t="shared" si="80"/>
        <v>0</v>
      </c>
      <c r="P288" s="184">
        <f t="shared" si="81"/>
        <v>0.08</v>
      </c>
      <c r="Q288" s="184">
        <f t="shared" si="82"/>
        <v>0</v>
      </c>
      <c r="R28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48982.5</v>
      </c>
      <c r="T28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88" s="186">
        <f ca="1">IF(Tabla33610673[[#This Row],[Equity]]&lt;Tabla33610673[[#This Row],[Equity Peak]],(Tabla33610673[[#This Row],[Equity Peak]]-Tabla33610673[[#This Row],[Equity]])/Tabla33610673[[#This Row],[Equity Peak]],"")</f>
        <v>1.966376463524467E-2</v>
      </c>
      <c r="V288" s="187">
        <f t="shared" si="83"/>
        <v>0.08</v>
      </c>
      <c r="W288" s="187">
        <f t="shared" si="84"/>
        <v>0</v>
      </c>
      <c r="X288" s="187">
        <f t="shared" si="85"/>
        <v>0</v>
      </c>
      <c r="Y288" s="187">
        <f t="shared" si="86"/>
        <v>0</v>
      </c>
      <c r="Z288" s="187">
        <f t="shared" si="87"/>
        <v>0</v>
      </c>
      <c r="AA288" s="183">
        <f t="shared" si="88"/>
        <v>0</v>
      </c>
      <c r="AB288" s="187">
        <f t="shared" si="89"/>
        <v>0</v>
      </c>
      <c r="AC288" s="183">
        <f t="shared" si="90"/>
        <v>0</v>
      </c>
      <c r="AD288" s="188">
        <f t="shared" si="91"/>
        <v>0.83958333333430346</v>
      </c>
      <c r="AE288" s="188">
        <f t="shared" si="92"/>
        <v>0.83958333333430346</v>
      </c>
      <c r="AF288" s="188">
        <f t="shared" si="93"/>
        <v>0</v>
      </c>
      <c r="AG288" s="188">
        <f t="shared" si="94"/>
        <v>0</v>
      </c>
    </row>
    <row r="289" spans="2:33" ht="15" customHeight="1" x14ac:dyDescent="0.15">
      <c r="B289" s="174" t="s">
        <v>5</v>
      </c>
      <c r="C289" s="175" t="s">
        <v>15</v>
      </c>
      <c r="D289" s="176" t="str">
        <f t="shared" si="76"/>
        <v>C</v>
      </c>
      <c r="E289" s="177" t="d">
        <v>2021-09-02T15:45:00.000</v>
      </c>
      <c r="F289" s="178" t="s">
        <v>82</v>
      </c>
      <c r="G289" s="179">
        <v>4534.49</v>
      </c>
      <c r="H289" s="179">
        <v>4524.78</v>
      </c>
      <c r="I289" s="180">
        <f t="shared" si="77"/>
        <v>9.7100000000000364</v>
      </c>
      <c r="J289" s="179">
        <v>4597.6099999999997</v>
      </c>
      <c r="K289" s="177" t="d">
        <v>2021-09-02T20:39:00.00000029336660775</v>
      </c>
      <c r="L289" s="179">
        <v>4531.74</v>
      </c>
      <c r="M289" s="181">
        <f t="shared" si="78"/>
        <v>-2.75</v>
      </c>
      <c r="N289" s="182">
        <f t="shared" si="79"/>
        <v>-0.28000000000000003</v>
      </c>
      <c r="O289" s="183">
        <f t="shared" si="80"/>
        <v>0</v>
      </c>
      <c r="P289" s="184">
        <f t="shared" si="81"/>
        <v>0</v>
      </c>
      <c r="Q289" s="184">
        <f t="shared" si="82"/>
        <v>-0.28000000000000003</v>
      </c>
      <c r="R28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48962.5</v>
      </c>
      <c r="T28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89" s="186">
        <f ca="1">IF(Tabla33610673[[#This Row],[Equity]]&lt;Tabla33610673[[#This Row],[Equity Peak]],(Tabla33610673[[#This Row],[Equity Peak]]-Tabla33610673[[#This Row],[Equity]])/Tabla33610673[[#This Row],[Equity Peak]],"")</f>
        <v>2.0064044831381966E-2</v>
      </c>
      <c r="V289" s="187">
        <f t="shared" si="83"/>
        <v>0</v>
      </c>
      <c r="W289" s="187">
        <f t="shared" si="84"/>
        <v>0</v>
      </c>
      <c r="X289" s="187">
        <f t="shared" si="85"/>
        <v>0</v>
      </c>
      <c r="Y289" s="187">
        <f t="shared" si="86"/>
        <v>0</v>
      </c>
      <c r="Z289" s="187">
        <f t="shared" si="87"/>
        <v>-0.28000000000000003</v>
      </c>
      <c r="AA289" s="183">
        <f t="shared" si="88"/>
        <v>0</v>
      </c>
      <c r="AB289" s="187">
        <f t="shared" si="89"/>
        <v>0</v>
      </c>
      <c r="AC289" s="183">
        <f t="shared" si="90"/>
        <v>0</v>
      </c>
      <c r="AD289" s="188">
        <f t="shared" si="91"/>
        <v>0.20416666667006211</v>
      </c>
      <c r="AE289" s="188">
        <f t="shared" si="92"/>
        <v>0</v>
      </c>
      <c r="AF289" s="188">
        <f t="shared" si="93"/>
        <v>0.20416666667006211</v>
      </c>
      <c r="AG289" s="188">
        <f t="shared" si="94"/>
        <v>0</v>
      </c>
    </row>
    <row r="290" spans="2:33" ht="15" customHeight="1" x14ac:dyDescent="0.15">
      <c r="B290" s="174" t="s">
        <v>19</v>
      </c>
      <c r="C290" s="175" t="s">
        <v>15</v>
      </c>
      <c r="D290" s="176" t="str">
        <f t="shared" si="76"/>
        <v>C</v>
      </c>
      <c r="E290" s="177" t="d">
        <v>2021-09-02T12:45:00.000</v>
      </c>
      <c r="F290" s="178" t="s">
        <v>77</v>
      </c>
      <c r="G290" s="179">
        <v>1816.48</v>
      </c>
      <c r="H290" s="179">
        <v>1812.26</v>
      </c>
      <c r="I290" s="180">
        <f t="shared" si="77"/>
        <v>4.2200000000000273</v>
      </c>
      <c r="J290" s="179">
        <v>1836.75</v>
      </c>
      <c r="K290" s="177" t="d">
        <v>2021-09-02T15:24:00.00000029336660775</v>
      </c>
      <c r="L290" s="179">
        <v>1812.26</v>
      </c>
      <c r="M290" s="181">
        <f t="shared" si="78"/>
        <v>-4.22</v>
      </c>
      <c r="N290" s="182">
        <f t="shared" si="79"/>
        <v>-1</v>
      </c>
      <c r="O290" s="183">
        <f t="shared" si="80"/>
        <v>0</v>
      </c>
      <c r="P290" s="184">
        <f t="shared" si="81"/>
        <v>0</v>
      </c>
      <c r="Q290" s="184">
        <f t="shared" si="82"/>
        <v>-1</v>
      </c>
      <c r="R29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49032.5</v>
      </c>
      <c r="T29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90" s="186">
        <f ca="1">IF(Tabla33610673[[#This Row],[Equity]]&lt;Tabla33610673[[#This Row],[Equity Peak]],(Tabla33610673[[#This Row],[Equity Peak]]-Tabla33610673[[#This Row],[Equity]])/Tabla33610673[[#This Row],[Equity Peak]],"")</f>
        <v>1.8663064144901431E-2</v>
      </c>
      <c r="V290" s="187">
        <f t="shared" si="83"/>
        <v>0</v>
      </c>
      <c r="W290" s="187">
        <f t="shared" si="84"/>
        <v>0</v>
      </c>
      <c r="X290" s="187">
        <f t="shared" si="85"/>
        <v>-1</v>
      </c>
      <c r="Y290" s="187">
        <f t="shared" si="86"/>
        <v>0</v>
      </c>
      <c r="Z290" s="187">
        <f t="shared" si="87"/>
        <v>0</v>
      </c>
      <c r="AA290" s="183">
        <f t="shared" si="88"/>
        <v>0</v>
      </c>
      <c r="AB290" s="187">
        <f t="shared" si="89"/>
        <v>0</v>
      </c>
      <c r="AC290" s="183">
        <f t="shared" si="90"/>
        <v>0</v>
      </c>
      <c r="AD290" s="188">
        <f t="shared" si="91"/>
        <v>0.11041666667006211</v>
      </c>
      <c r="AE290" s="188">
        <f t="shared" si="92"/>
        <v>0</v>
      </c>
      <c r="AF290" s="188">
        <f t="shared" si="93"/>
        <v>0.11041666667006211</v>
      </c>
      <c r="AG290" s="188">
        <f t="shared" si="94"/>
        <v>0</v>
      </c>
    </row>
    <row r="291" spans="2:33" ht="15" customHeight="1" x14ac:dyDescent="0.15">
      <c r="B291" s="174" t="s">
        <v>7</v>
      </c>
      <c r="C291" s="175" t="s">
        <v>15</v>
      </c>
      <c r="D291" s="176" t="str">
        <f t="shared" si="76"/>
        <v>C</v>
      </c>
      <c r="E291" s="177" t="d">
        <v>2021-09-01T09:45:00.000</v>
      </c>
      <c r="F291" s="178" t="s">
        <v>102</v>
      </c>
      <c r="G291" s="179">
        <v>151.63</v>
      </c>
      <c r="H291" s="179">
        <v>151.38900000000001</v>
      </c>
      <c r="I291" s="180">
        <f t="shared" si="77"/>
        <v>0.24099999999998545</v>
      </c>
      <c r="J291" s="179">
        <v>152.91499999999999</v>
      </c>
      <c r="K291" s="177" t="d">
        <v>2021-09-01T21:36:00.00000012572854425</v>
      </c>
      <c r="L291" s="179">
        <v>151.542</v>
      </c>
      <c r="M291" s="181">
        <f t="shared" si="78"/>
        <v>-8.7999999999999995E-2</v>
      </c>
      <c r="N291" s="182">
        <f t="shared" si="79"/>
        <v>-0.37</v>
      </c>
      <c r="O291" s="183">
        <f t="shared" si="80"/>
        <v>0</v>
      </c>
      <c r="P291" s="184">
        <f t="shared" si="81"/>
        <v>0</v>
      </c>
      <c r="Q291" s="184">
        <f t="shared" si="82"/>
        <v>-0.37</v>
      </c>
      <c r="R29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49282.5</v>
      </c>
      <c r="T29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91" s="186">
        <f ca="1">IF(Tabla33610673[[#This Row],[Equity]]&lt;Tabla33610673[[#This Row],[Equity Peak]],(Tabla33610673[[#This Row],[Equity Peak]]-Tabla33610673[[#This Row],[Equity]])/Tabla33610673[[#This Row],[Equity Peak]],"")</f>
        <v>1.365956169318523E-2</v>
      </c>
      <c r="V291" s="187">
        <f t="shared" si="83"/>
        <v>-0.37</v>
      </c>
      <c r="W291" s="187">
        <f t="shared" si="84"/>
        <v>0</v>
      </c>
      <c r="X291" s="187">
        <f t="shared" si="85"/>
        <v>0</v>
      </c>
      <c r="Y291" s="187">
        <f t="shared" si="86"/>
        <v>0</v>
      </c>
      <c r="Z291" s="187">
        <f t="shared" si="87"/>
        <v>0</v>
      </c>
      <c r="AA291" s="183">
        <f t="shared" si="88"/>
        <v>0</v>
      </c>
      <c r="AB291" s="187">
        <f t="shared" si="89"/>
        <v>0</v>
      </c>
      <c r="AC291" s="183">
        <f t="shared" si="90"/>
        <v>0</v>
      </c>
      <c r="AD291" s="188">
        <f t="shared" si="91"/>
        <v>0.49375000000145519</v>
      </c>
      <c r="AE291" s="188">
        <f t="shared" si="92"/>
        <v>0</v>
      </c>
      <c r="AF291" s="188">
        <f t="shared" si="93"/>
        <v>0.49375000000145519</v>
      </c>
      <c r="AG291" s="188">
        <f t="shared" si="94"/>
        <v>0</v>
      </c>
    </row>
    <row r="292" spans="2:33" ht="15" customHeight="1" x14ac:dyDescent="0.15">
      <c r="B292" s="174" t="s">
        <v>5</v>
      </c>
      <c r="C292" s="175" t="s">
        <v>15</v>
      </c>
      <c r="D292" s="176" t="str">
        <f t="shared" si="76"/>
        <v>C</v>
      </c>
      <c r="E292" s="177" t="d">
        <v>2021-09-01T06:00:00.000</v>
      </c>
      <c r="F292" s="178" t="s">
        <v>82</v>
      </c>
      <c r="G292" s="179">
        <v>4536.05</v>
      </c>
      <c r="H292" s="179">
        <v>4525.26</v>
      </c>
      <c r="I292" s="180">
        <f t="shared" si="77"/>
        <v>10.789999999999964</v>
      </c>
      <c r="J292" s="179">
        <v>4606.16</v>
      </c>
      <c r="K292" s="177" t="d">
        <v>2021-09-01T16:24:00.00000008381903175</v>
      </c>
      <c r="L292" s="179">
        <v>4530.51</v>
      </c>
      <c r="M292" s="181">
        <f t="shared" si="78"/>
        <v>-5.54</v>
      </c>
      <c r="N292" s="182">
        <f t="shared" si="79"/>
        <v>-0.51</v>
      </c>
      <c r="O292" s="183">
        <f t="shared" si="80"/>
        <v>0</v>
      </c>
      <c r="P292" s="184">
        <f t="shared" si="81"/>
        <v>0</v>
      </c>
      <c r="Q292" s="184">
        <f t="shared" si="82"/>
        <v>-0.51</v>
      </c>
      <c r="R29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49375</v>
      </c>
      <c r="T29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92" s="186">
        <f ca="1">IF(Tabla33610673[[#This Row],[Equity]]&lt;Tabla33610673[[#This Row],[Equity Peak]],(Tabla33610673[[#This Row],[Equity Peak]]-Tabla33610673[[#This Row],[Equity]])/Tabla33610673[[#This Row],[Equity Peak]],"")</f>
        <v>1.1808265786050235E-2</v>
      </c>
      <c r="V292" s="187">
        <f t="shared" si="83"/>
        <v>0</v>
      </c>
      <c r="W292" s="187">
        <f t="shared" si="84"/>
        <v>0</v>
      </c>
      <c r="X292" s="187">
        <f t="shared" si="85"/>
        <v>0</v>
      </c>
      <c r="Y292" s="187">
        <f t="shared" si="86"/>
        <v>0</v>
      </c>
      <c r="Z292" s="187">
        <f t="shared" si="87"/>
        <v>-0.51</v>
      </c>
      <c r="AA292" s="183">
        <f t="shared" si="88"/>
        <v>0</v>
      </c>
      <c r="AB292" s="187">
        <f t="shared" si="89"/>
        <v>0</v>
      </c>
      <c r="AC292" s="183">
        <f t="shared" si="90"/>
        <v>0</v>
      </c>
      <c r="AD292" s="188">
        <f t="shared" si="91"/>
        <v>0.43333333333430346</v>
      </c>
      <c r="AE292" s="188">
        <f t="shared" si="92"/>
        <v>0</v>
      </c>
      <c r="AF292" s="188">
        <f t="shared" si="93"/>
        <v>0.43333333333430346</v>
      </c>
      <c r="AG292" s="188">
        <f t="shared" si="94"/>
        <v>0</v>
      </c>
    </row>
    <row r="293" spans="2:33" ht="15" customHeight="1" x14ac:dyDescent="0.15">
      <c r="B293" s="174" t="s">
        <v>19</v>
      </c>
      <c r="C293" s="175" t="s">
        <v>15</v>
      </c>
      <c r="D293" s="176" t="str">
        <f t="shared" si="76"/>
        <v>C</v>
      </c>
      <c r="E293" s="177" t="d">
        <v>2021-09-01T15:45:00.000</v>
      </c>
      <c r="F293" s="178" t="s">
        <v>77</v>
      </c>
      <c r="G293" s="179">
        <v>1817.54</v>
      </c>
      <c r="H293" s="179">
        <v>1813.13</v>
      </c>
      <c r="I293" s="180">
        <f t="shared" si="77"/>
        <v>4.4099999999998545</v>
      </c>
      <c r="J293" s="179">
        <v>1838.71</v>
      </c>
      <c r="K293" s="177" t="d">
        <v>2021-09-01T16:09:00.00000029336660775</v>
      </c>
      <c r="L293" s="179">
        <v>1813.13</v>
      </c>
      <c r="M293" s="181">
        <f t="shared" si="78"/>
        <v>-4.41</v>
      </c>
      <c r="N293" s="182">
        <f t="shared" si="79"/>
        <v>-1</v>
      </c>
      <c r="O293" s="183">
        <f t="shared" si="80"/>
        <v>0</v>
      </c>
      <c r="P293" s="184">
        <f t="shared" si="81"/>
        <v>0</v>
      </c>
      <c r="Q293" s="184">
        <f t="shared" si="82"/>
        <v>-1</v>
      </c>
      <c r="R29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49502.5</v>
      </c>
      <c r="T29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93" s="186">
        <f ca="1">IF(Tabla33610673[[#This Row],[Equity]]&lt;Tabla33610673[[#This Row],[Equity Peak]],(Tabla33610673[[#This Row],[Equity Peak]]-Tabla33610673[[#This Row],[Equity]])/Tabla33610673[[#This Row],[Equity Peak]],"")</f>
        <v>9.2564795356749729E-3</v>
      </c>
      <c r="V293" s="187">
        <f t="shared" si="83"/>
        <v>0</v>
      </c>
      <c r="W293" s="187">
        <f t="shared" si="84"/>
        <v>0</v>
      </c>
      <c r="X293" s="187">
        <f t="shared" si="85"/>
        <v>-1</v>
      </c>
      <c r="Y293" s="187">
        <f t="shared" si="86"/>
        <v>0</v>
      </c>
      <c r="Z293" s="187">
        <f t="shared" si="87"/>
        <v>0</v>
      </c>
      <c r="AA293" s="183">
        <f t="shared" si="88"/>
        <v>0</v>
      </c>
      <c r="AB293" s="187">
        <f t="shared" si="89"/>
        <v>0</v>
      </c>
      <c r="AC293" s="183">
        <f t="shared" si="90"/>
        <v>0</v>
      </c>
      <c r="AD293" s="188">
        <f t="shared" si="91"/>
        <v>1.6666666670062114E-2</v>
      </c>
      <c r="AE293" s="188">
        <f t="shared" si="92"/>
        <v>0</v>
      </c>
      <c r="AF293" s="188">
        <f t="shared" si="93"/>
        <v>1.6666666670062114E-2</v>
      </c>
      <c r="AG293" s="188">
        <f t="shared" si="94"/>
        <v>0</v>
      </c>
    </row>
    <row r="294" spans="2:33" ht="15" customHeight="1" x14ac:dyDescent="0.15">
      <c r="B294" s="174" t="s">
        <v>7</v>
      </c>
      <c r="C294" s="175" t="s">
        <v>15</v>
      </c>
      <c r="D294" s="176" t="str">
        <f t="shared" si="76"/>
        <v>C</v>
      </c>
      <c r="E294" s="177" t="d">
        <v>2021-09-01T10:15:00.00000020954757600</v>
      </c>
      <c r="F294" s="178" t="s">
        <v>103</v>
      </c>
      <c r="G294" s="179">
        <v>110.288</v>
      </c>
      <c r="H294" s="179">
        <v>110.137</v>
      </c>
      <c r="I294" s="180">
        <f t="shared" si="77"/>
        <v>0.15099999999999625</v>
      </c>
      <c r="J294" s="179">
        <v>111.236</v>
      </c>
      <c r="K294" s="177" t="d">
        <v>2021-09-01T15:24:00.00000029336660775</v>
      </c>
      <c r="L294" s="179">
        <v>110.206</v>
      </c>
      <c r="M294" s="181">
        <f t="shared" si="78"/>
        <v>-8.2000000000000003E-2</v>
      </c>
      <c r="N294" s="182">
        <f t="shared" si="79"/>
        <v>-0.54</v>
      </c>
      <c r="O294" s="183">
        <f t="shared" si="80"/>
        <v>0</v>
      </c>
      <c r="P294" s="184">
        <f t="shared" si="81"/>
        <v>0</v>
      </c>
      <c r="Q294" s="184">
        <f t="shared" si="82"/>
        <v>-0.54</v>
      </c>
      <c r="R29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49752.5</v>
      </c>
      <c r="T29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94" s="186">
        <f ca="1">IF(Tabla33610673[[#This Row],[Equity]]&lt;Tabla33610673[[#This Row],[Equity Peak]],(Tabla33610673[[#This Row],[Equity Peak]]-Tabla33610673[[#This Row],[Equity]])/Tabla33610673[[#This Row],[Equity Peak]],"")</f>
        <v>4.2529770839587712E-3</v>
      </c>
      <c r="V294" s="187">
        <f t="shared" si="83"/>
        <v>-0.54</v>
      </c>
      <c r="W294" s="187">
        <f t="shared" si="84"/>
        <v>0</v>
      </c>
      <c r="X294" s="187">
        <f t="shared" si="85"/>
        <v>0</v>
      </c>
      <c r="Y294" s="187">
        <f t="shared" si="86"/>
        <v>0</v>
      </c>
      <c r="Z294" s="187">
        <f t="shared" si="87"/>
        <v>0</v>
      </c>
      <c r="AA294" s="183">
        <f t="shared" si="88"/>
        <v>0</v>
      </c>
      <c r="AB294" s="187">
        <f t="shared" si="89"/>
        <v>0</v>
      </c>
      <c r="AC294" s="183">
        <f t="shared" si="90"/>
        <v>0</v>
      </c>
      <c r="AD294" s="188">
        <f t="shared" si="91"/>
        <v>0.21458333333430346</v>
      </c>
      <c r="AE294" s="188">
        <f t="shared" si="92"/>
        <v>0</v>
      </c>
      <c r="AF294" s="188">
        <f t="shared" si="93"/>
        <v>0.21458333333430346</v>
      </c>
      <c r="AG294" s="188">
        <f t="shared" si="94"/>
        <v>0</v>
      </c>
    </row>
    <row r="295" spans="2:33" ht="15" customHeight="1" x14ac:dyDescent="0.15">
      <c r="B295" s="174" t="s">
        <v>5</v>
      </c>
      <c r="C295" s="175" t="s">
        <v>15</v>
      </c>
      <c r="D295" s="176" t="str">
        <f t="shared" si="76"/>
        <v>C</v>
      </c>
      <c r="E295" s="177" t="d">
        <v>2021-08-31T10:15:00.00000020954757600</v>
      </c>
      <c r="F295" s="178" t="s">
        <v>80</v>
      </c>
      <c r="G295" s="179">
        <v>15953.82</v>
      </c>
      <c r="H295" s="179">
        <v>15918.55</v>
      </c>
      <c r="I295" s="180">
        <f t="shared" si="77"/>
        <v>35.270000000000437</v>
      </c>
      <c r="J295" s="179">
        <v>16212.47</v>
      </c>
      <c r="K295" s="177" t="d">
        <v>2021-08-31T13:28:00.00000023748725325</v>
      </c>
      <c r="L295" s="179">
        <v>15942.95</v>
      </c>
      <c r="M295" s="181">
        <f t="shared" si="78"/>
        <v>-10.87</v>
      </c>
      <c r="N295" s="182">
        <f t="shared" si="79"/>
        <v>-0.31</v>
      </c>
      <c r="O295" s="183">
        <f t="shared" si="80"/>
        <v>0</v>
      </c>
      <c r="P295" s="184">
        <f t="shared" si="81"/>
        <v>0</v>
      </c>
      <c r="Q295" s="184">
        <f t="shared" si="82"/>
        <v>-0.31</v>
      </c>
      <c r="R29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49887.5</v>
      </c>
      <c r="T29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95" s="186">
        <f ca="1">IF(Tabla33610673[[#This Row],[Equity]]&lt;Tabla33610673[[#This Row],[Equity Peak]],(Tabla33610673[[#This Row],[Equity Peak]]-Tabla33610673[[#This Row],[Equity]])/Tabla33610673[[#This Row],[Equity Peak]],"")</f>
        <v>1.5510857600320224E-3</v>
      </c>
      <c r="V295" s="187">
        <f t="shared" si="83"/>
        <v>0</v>
      </c>
      <c r="W295" s="187">
        <f t="shared" si="84"/>
        <v>0</v>
      </c>
      <c r="X295" s="187">
        <f t="shared" si="85"/>
        <v>0</v>
      </c>
      <c r="Y295" s="187">
        <f t="shared" si="86"/>
        <v>0</v>
      </c>
      <c r="Z295" s="187">
        <f t="shared" si="87"/>
        <v>-0.31</v>
      </c>
      <c r="AA295" s="183">
        <f t="shared" si="88"/>
        <v>0</v>
      </c>
      <c r="AB295" s="187">
        <f t="shared" si="89"/>
        <v>0</v>
      </c>
      <c r="AC295" s="183">
        <f t="shared" si="90"/>
        <v>0</v>
      </c>
      <c r="AD295" s="188">
        <f t="shared" si="91"/>
        <v>0.13402777777810115</v>
      </c>
      <c r="AE295" s="188">
        <f t="shared" si="92"/>
        <v>0</v>
      </c>
      <c r="AF295" s="188">
        <f t="shared" si="93"/>
        <v>0.13402777777810115</v>
      </c>
      <c r="AG295" s="188">
        <f t="shared" si="94"/>
        <v>0</v>
      </c>
    </row>
    <row r="296" spans="2:33" ht="15" customHeight="1" x14ac:dyDescent="0.15">
      <c r="B296" s="174" t="s">
        <v>5</v>
      </c>
      <c r="C296" s="175" t="s">
        <v>15</v>
      </c>
      <c r="D296" s="176" t="str">
        <f t="shared" si="76"/>
        <v>C</v>
      </c>
      <c r="E296" s="177" t="d">
        <v>2021-08-27T17:15:00.000</v>
      </c>
      <c r="F296" s="178" t="s">
        <v>81</v>
      </c>
      <c r="G296" s="179">
        <v>15399</v>
      </c>
      <c r="H296" s="179">
        <v>15360.45</v>
      </c>
      <c r="I296" s="180">
        <f t="shared" si="77"/>
        <v>38.549999999999272</v>
      </c>
      <c r="J296" s="179">
        <v>15630.3</v>
      </c>
      <c r="K296" s="177" t="d">
        <v>2021-08-31T07:50:59.99999970663339225</v>
      </c>
      <c r="L296" s="179">
        <v>15630.3</v>
      </c>
      <c r="M296" s="181">
        <f t="shared" si="78"/>
        <v>231.3</v>
      </c>
      <c r="N296" s="182">
        <f t="shared" si="79"/>
        <v>6</v>
      </c>
      <c r="O296" s="183">
        <f t="shared" si="80"/>
        <v>0</v>
      </c>
      <c r="P296" s="184">
        <f t="shared" si="81"/>
        <v>6</v>
      </c>
      <c r="Q296" s="184">
        <f t="shared" si="82"/>
        <v>0</v>
      </c>
      <c r="R29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49965</v>
      </c>
      <c r="T29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49965</v>
      </c>
      <c r="U296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296" s="187">
        <f t="shared" si="83"/>
        <v>0</v>
      </c>
      <c r="W296" s="187">
        <f t="shared" si="84"/>
        <v>0</v>
      </c>
      <c r="X296" s="187">
        <f t="shared" si="85"/>
        <v>0</v>
      </c>
      <c r="Y296" s="187">
        <f t="shared" si="86"/>
        <v>0</v>
      </c>
      <c r="Z296" s="187">
        <f t="shared" si="87"/>
        <v>6</v>
      </c>
      <c r="AA296" s="183">
        <f t="shared" si="88"/>
        <v>0</v>
      </c>
      <c r="AB296" s="187">
        <f t="shared" si="89"/>
        <v>0</v>
      </c>
      <c r="AC296" s="183">
        <f t="shared" si="90"/>
        <v>0</v>
      </c>
      <c r="AD296" s="188">
        <f t="shared" si="91"/>
        <v>3.6083333333299379</v>
      </c>
      <c r="AE296" s="188">
        <f t="shared" si="92"/>
        <v>3.6083333333299379</v>
      </c>
      <c r="AF296" s="188">
        <f t="shared" si="93"/>
        <v>0</v>
      </c>
      <c r="AG296" s="188">
        <f t="shared" si="94"/>
        <v>0</v>
      </c>
    </row>
    <row r="297" spans="2:33" ht="15" customHeight="1" x14ac:dyDescent="0.15">
      <c r="B297" s="174" t="s">
        <v>19</v>
      </c>
      <c r="C297" s="175" t="s">
        <v>15</v>
      </c>
      <c r="D297" s="176" t="str">
        <f t="shared" si="76"/>
        <v>C</v>
      </c>
      <c r="E297" s="177" t="d">
        <v>2021-08-27T17:45:00.00000020954757600</v>
      </c>
      <c r="F297" s="178" t="s">
        <v>77</v>
      </c>
      <c r="G297" s="179">
        <v>1807.27</v>
      </c>
      <c r="H297" s="179">
        <v>1802.79</v>
      </c>
      <c r="I297" s="180">
        <f t="shared" si="77"/>
        <v>4.4800000000000182</v>
      </c>
      <c r="J297" s="179">
        <v>1828.79</v>
      </c>
      <c r="K297" s="177" t="d">
        <v>2021-08-30T04:38:59.99999987427145575</v>
      </c>
      <c r="L297" s="179">
        <v>1817.6</v>
      </c>
      <c r="M297" s="181">
        <f t="shared" si="78"/>
        <v>10.33</v>
      </c>
      <c r="N297" s="182">
        <f t="shared" si="79"/>
        <v>2.31</v>
      </c>
      <c r="O297" s="183">
        <f t="shared" si="80"/>
        <v>0</v>
      </c>
      <c r="P297" s="184">
        <f t="shared" si="81"/>
        <v>2.31</v>
      </c>
      <c r="Q297" s="184">
        <f t="shared" si="82"/>
        <v>0</v>
      </c>
      <c r="R29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48465</v>
      </c>
      <c r="T29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48495</v>
      </c>
      <c r="U297" s="186">
        <f ca="1">IF(Tabla33610673[[#This Row],[Equity]]&lt;Tabla33610673[[#This Row],[Equity Peak]],(Tabla33610673[[#This Row],[Equity Peak]]-Tabla33610673[[#This Row],[Equity]])/Tabla33610673[[#This Row],[Equity Peak]],"")</f>
        <v>6.1862047633776682E-4</v>
      </c>
      <c r="V297" s="187">
        <f t="shared" si="83"/>
        <v>0</v>
      </c>
      <c r="W297" s="187">
        <f t="shared" si="84"/>
        <v>0</v>
      </c>
      <c r="X297" s="187">
        <f t="shared" si="85"/>
        <v>2.31</v>
      </c>
      <c r="Y297" s="187">
        <f t="shared" si="86"/>
        <v>0</v>
      </c>
      <c r="Z297" s="187">
        <f t="shared" si="87"/>
        <v>0</v>
      </c>
      <c r="AA297" s="183">
        <f t="shared" si="88"/>
        <v>0</v>
      </c>
      <c r="AB297" s="187">
        <f t="shared" si="89"/>
        <v>0</v>
      </c>
      <c r="AC297" s="183">
        <f t="shared" si="90"/>
        <v>0</v>
      </c>
      <c r="AD297" s="188">
        <f t="shared" si="91"/>
        <v>2.4541666666627862</v>
      </c>
      <c r="AE297" s="188">
        <f t="shared" si="92"/>
        <v>2.4541666666627862</v>
      </c>
      <c r="AF297" s="188">
        <f t="shared" si="93"/>
        <v>0</v>
      </c>
      <c r="AG297" s="188">
        <f t="shared" si="94"/>
        <v>0</v>
      </c>
    </row>
    <row r="298" spans="2:33" ht="15" customHeight="1" x14ac:dyDescent="0.15">
      <c r="B298" s="174" t="s">
        <v>5</v>
      </c>
      <c r="C298" s="175" t="s">
        <v>15</v>
      </c>
      <c r="D298" s="176" t="str">
        <f t="shared" si="76"/>
        <v>C</v>
      </c>
      <c r="E298" s="177" t="d">
        <v>2021-08-27T17:15:00.000</v>
      </c>
      <c r="F298" s="178" t="s">
        <v>82</v>
      </c>
      <c r="G298" s="179">
        <v>4499.95</v>
      </c>
      <c r="H298" s="179">
        <v>4489.78</v>
      </c>
      <c r="I298" s="180">
        <f t="shared" si="77"/>
        <v>10.170000000000073</v>
      </c>
      <c r="J298" s="179">
        <v>4566.05</v>
      </c>
      <c r="K298" s="177" t="d">
        <v>2021-08-30T03:36:59.99999969266355025</v>
      </c>
      <c r="L298" s="179">
        <v>4505.57</v>
      </c>
      <c r="M298" s="181">
        <f t="shared" si="78"/>
        <v>5.62</v>
      </c>
      <c r="N298" s="182">
        <f t="shared" si="79"/>
        <v>0.55000000000000004</v>
      </c>
      <c r="O298" s="183">
        <f t="shared" si="80"/>
        <v>0</v>
      </c>
      <c r="P298" s="184">
        <f t="shared" si="81"/>
        <v>0.55000000000000004</v>
      </c>
      <c r="Q298" s="184">
        <f t="shared" si="82"/>
        <v>0</v>
      </c>
      <c r="R29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47887.5</v>
      </c>
      <c r="T29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48495</v>
      </c>
      <c r="U298" s="186">
        <f ca="1">IF(Tabla33610673[[#This Row],[Equity]]&lt;Tabla33610673[[#This Row],[Equity Peak]],(Tabla33610673[[#This Row],[Equity Peak]]-Tabla33610673[[#This Row],[Equity]])/Tabla33610673[[#This Row],[Equity Peak]],"")</f>
        <v>1.2527064645839777E-2</v>
      </c>
      <c r="V298" s="187">
        <f t="shared" si="83"/>
        <v>0</v>
      </c>
      <c r="W298" s="187">
        <f t="shared" si="84"/>
        <v>0</v>
      </c>
      <c r="X298" s="187">
        <f t="shared" si="85"/>
        <v>0</v>
      </c>
      <c r="Y298" s="187">
        <f t="shared" si="86"/>
        <v>0</v>
      </c>
      <c r="Z298" s="187">
        <f t="shared" si="87"/>
        <v>0.55000000000000004</v>
      </c>
      <c r="AA298" s="183">
        <f t="shared" si="88"/>
        <v>0</v>
      </c>
      <c r="AB298" s="187">
        <f t="shared" si="89"/>
        <v>0</v>
      </c>
      <c r="AC298" s="183">
        <f t="shared" si="90"/>
        <v>0</v>
      </c>
      <c r="AD298" s="188">
        <f t="shared" si="91"/>
        <v>2.4319444444408873</v>
      </c>
      <c r="AE298" s="188">
        <f t="shared" si="92"/>
        <v>2.4319444444408873</v>
      </c>
      <c r="AF298" s="188">
        <f t="shared" si="93"/>
        <v>0</v>
      </c>
      <c r="AG298" s="188">
        <f t="shared" si="94"/>
        <v>0</v>
      </c>
    </row>
    <row r="299" spans="2:33" ht="15" customHeight="1" x14ac:dyDescent="0.15">
      <c r="B299" s="174" t="s">
        <v>19</v>
      </c>
      <c r="C299" s="175" t="s">
        <v>15</v>
      </c>
      <c r="D299" s="176" t="str">
        <f t="shared" si="76"/>
        <v>C</v>
      </c>
      <c r="E299" s="177" t="d">
        <v>2021-08-27T08:00:00.00000020954757600</v>
      </c>
      <c r="F299" s="178" t="s">
        <v>77</v>
      </c>
      <c r="G299" s="179">
        <v>1800.09</v>
      </c>
      <c r="H299" s="179">
        <v>1795.92</v>
      </c>
      <c r="I299" s="180">
        <f t="shared" si="77"/>
        <v>4.1699999999998454</v>
      </c>
      <c r="J299" s="179">
        <v>1820.11</v>
      </c>
      <c r="K299" s="177" t="d">
        <v>2021-08-27T11:23:59.99999987427145575</v>
      </c>
      <c r="L299" s="179">
        <v>1795.92</v>
      </c>
      <c r="M299" s="181">
        <f t="shared" si="78"/>
        <v>-4.17</v>
      </c>
      <c r="N299" s="182">
        <f t="shared" si="79"/>
        <v>-1</v>
      </c>
      <c r="O299" s="183">
        <f t="shared" si="80"/>
        <v>0</v>
      </c>
      <c r="P299" s="184">
        <f t="shared" si="81"/>
        <v>0</v>
      </c>
      <c r="Q299" s="184">
        <f t="shared" si="82"/>
        <v>-1</v>
      </c>
      <c r="R29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47750</v>
      </c>
      <c r="T29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48495</v>
      </c>
      <c r="U299" s="186">
        <f ca="1">IF(Tabla33610673[[#This Row],[Equity]]&lt;Tabla33610673[[#This Row],[Equity Peak]],(Tabla33610673[[#This Row],[Equity Peak]]-Tabla33610673[[#This Row],[Equity]])/Tabla33610673[[#This Row],[Equity Peak]],"")</f>
        <v>1.5362408495721208E-2</v>
      </c>
      <c r="V299" s="187">
        <f t="shared" si="83"/>
        <v>0</v>
      </c>
      <c r="W299" s="187">
        <f t="shared" si="84"/>
        <v>0</v>
      </c>
      <c r="X299" s="187">
        <f t="shared" si="85"/>
        <v>-1</v>
      </c>
      <c r="Y299" s="187">
        <f t="shared" si="86"/>
        <v>0</v>
      </c>
      <c r="Z299" s="187">
        <f t="shared" si="87"/>
        <v>0</v>
      </c>
      <c r="AA299" s="183">
        <f t="shared" si="88"/>
        <v>0</v>
      </c>
      <c r="AB299" s="187">
        <f t="shared" si="89"/>
        <v>0</v>
      </c>
      <c r="AC299" s="183">
        <f t="shared" si="90"/>
        <v>0</v>
      </c>
      <c r="AD299" s="188">
        <f t="shared" si="91"/>
        <v>0.14166666666278616</v>
      </c>
      <c r="AE299" s="188">
        <f t="shared" si="92"/>
        <v>0</v>
      </c>
      <c r="AF299" s="188">
        <f t="shared" si="93"/>
        <v>0.14166666666278616</v>
      </c>
      <c r="AG299" s="188">
        <f t="shared" si="94"/>
        <v>0</v>
      </c>
    </row>
    <row r="300" spans="2:33" ht="15" customHeight="1" x14ac:dyDescent="0.15">
      <c r="B300" s="174" t="s">
        <v>5</v>
      </c>
      <c r="C300" s="175" t="s">
        <v>13</v>
      </c>
      <c r="D300" s="176" t="str">
        <f t="shared" si="76"/>
        <v>C</v>
      </c>
      <c r="E300" s="177" t="d">
        <v>2021-08-27T03:14:59.99999979045242400</v>
      </c>
      <c r="F300" s="178" t="s">
        <v>82</v>
      </c>
      <c r="G300" s="179">
        <v>4466.1000000000004</v>
      </c>
      <c r="H300" s="179">
        <v>4477.2700000000004</v>
      </c>
      <c r="I300" s="180">
        <f t="shared" si="77"/>
        <v>11.170000000000073</v>
      </c>
      <c r="J300" s="179">
        <v>4393.53</v>
      </c>
      <c r="K300" s="177" t="d">
        <v>2021-08-27T05:06:00.00000012572854425</v>
      </c>
      <c r="L300" s="179">
        <v>4477.05</v>
      </c>
      <c r="M300" s="181">
        <f t="shared" si="78"/>
        <v>-10.95</v>
      </c>
      <c r="N300" s="182">
        <f t="shared" si="79"/>
        <v>-0.98</v>
      </c>
      <c r="O300" s="183">
        <f t="shared" si="80"/>
        <v>0</v>
      </c>
      <c r="P300" s="184">
        <f t="shared" si="81"/>
        <v>0</v>
      </c>
      <c r="Q300" s="184">
        <f t="shared" si="82"/>
        <v>-0.98</v>
      </c>
      <c r="R30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48000</v>
      </c>
      <c r="T30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48495</v>
      </c>
      <c r="U300" s="186">
        <f ca="1">IF(Tabla33610673[[#This Row],[Equity]]&lt;Tabla33610673[[#This Row],[Equity Peak]],(Tabla33610673[[#This Row],[Equity Peak]]-Tabla33610673[[#This Row],[Equity]])/Tabla33610673[[#This Row],[Equity Peak]],"")</f>
        <v>1.0207237859573151E-2</v>
      </c>
      <c r="V300" s="187">
        <f t="shared" si="83"/>
        <v>0</v>
      </c>
      <c r="W300" s="187">
        <f t="shared" si="84"/>
        <v>0</v>
      </c>
      <c r="X300" s="187">
        <f t="shared" si="85"/>
        <v>0</v>
      </c>
      <c r="Y300" s="187">
        <f t="shared" si="86"/>
        <v>0</v>
      </c>
      <c r="Z300" s="187">
        <f t="shared" si="87"/>
        <v>-0.98</v>
      </c>
      <c r="AA300" s="183">
        <f t="shared" si="88"/>
        <v>0</v>
      </c>
      <c r="AB300" s="187">
        <f t="shared" si="89"/>
        <v>0</v>
      </c>
      <c r="AC300" s="183">
        <f t="shared" si="90"/>
        <v>0</v>
      </c>
      <c r="AD300" s="188">
        <f t="shared" si="91"/>
        <v>7.7083333337213844E-2</v>
      </c>
      <c r="AE300" s="188">
        <f t="shared" si="92"/>
        <v>0</v>
      </c>
      <c r="AF300" s="188">
        <f t="shared" si="93"/>
        <v>7.7083333337213844E-2</v>
      </c>
      <c r="AG300" s="188">
        <f t="shared" si="94"/>
        <v>0</v>
      </c>
    </row>
    <row r="301" spans="2:33" ht="15" customHeight="1" x14ac:dyDescent="0.15">
      <c r="B301" s="174" t="s">
        <v>19</v>
      </c>
      <c r="C301" s="175" t="s">
        <v>15</v>
      </c>
      <c r="D301" s="176" t="str">
        <f t="shared" si="76"/>
        <v>C</v>
      </c>
      <c r="E301" s="177" t="d">
        <v>2021-08-26T18:14:59.99999979045242400</v>
      </c>
      <c r="F301" s="178" t="s">
        <v>77</v>
      </c>
      <c r="G301" s="179">
        <v>1795.75</v>
      </c>
      <c r="H301" s="179">
        <v>1791.25</v>
      </c>
      <c r="I301" s="180">
        <f t="shared" si="77"/>
        <v>4.5</v>
      </c>
      <c r="J301" s="179">
        <v>1817.37</v>
      </c>
      <c r="K301" s="177" t="d">
        <v>2021-08-26T19:18:00.00000016763806350</v>
      </c>
      <c r="L301" s="179">
        <v>1791.25</v>
      </c>
      <c r="M301" s="181">
        <f t="shared" si="78"/>
        <v>-4.5</v>
      </c>
      <c r="N301" s="182">
        <f t="shared" si="79"/>
        <v>-1</v>
      </c>
      <c r="O301" s="183">
        <f t="shared" si="80"/>
        <v>0</v>
      </c>
      <c r="P301" s="184">
        <f t="shared" si="81"/>
        <v>0</v>
      </c>
      <c r="Q301" s="184">
        <f t="shared" si="82"/>
        <v>-1</v>
      </c>
      <c r="R30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48245</v>
      </c>
      <c r="T30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48495</v>
      </c>
      <c r="U301" s="186">
        <f ca="1">IF(Tabla33610673[[#This Row],[Equity]]&lt;Tabla33610673[[#This Row],[Equity Peak]],(Tabla33610673[[#This Row],[Equity Peak]]-Tabla33610673[[#This Row],[Equity]])/Tabla33610673[[#This Row],[Equity Peak]],"")</f>
        <v>5.1551706361480567E-3</v>
      </c>
      <c r="V301" s="187">
        <f t="shared" si="83"/>
        <v>0</v>
      </c>
      <c r="W301" s="187">
        <f t="shared" si="84"/>
        <v>0</v>
      </c>
      <c r="X301" s="187">
        <f t="shared" si="85"/>
        <v>-1</v>
      </c>
      <c r="Y301" s="187">
        <f t="shared" si="86"/>
        <v>0</v>
      </c>
      <c r="Z301" s="187">
        <f t="shared" si="87"/>
        <v>0</v>
      </c>
      <c r="AA301" s="183">
        <f t="shared" si="88"/>
        <v>0</v>
      </c>
      <c r="AB301" s="187">
        <f t="shared" si="89"/>
        <v>0</v>
      </c>
      <c r="AC301" s="183">
        <f t="shared" si="90"/>
        <v>0</v>
      </c>
      <c r="AD301" s="188">
        <f t="shared" si="91"/>
        <v>4.3750000004365575E-2</v>
      </c>
      <c r="AE301" s="188">
        <f t="shared" si="92"/>
        <v>0</v>
      </c>
      <c r="AF301" s="188">
        <f t="shared" si="93"/>
        <v>4.3750000004365575E-2</v>
      </c>
      <c r="AG301" s="188">
        <f t="shared" si="94"/>
        <v>0</v>
      </c>
    </row>
    <row r="302" spans="2:33" ht="15" customHeight="1" x14ac:dyDescent="0.15">
      <c r="B302" s="174" t="s">
        <v>5</v>
      </c>
      <c r="C302" s="175" t="s">
        <v>15</v>
      </c>
      <c r="D302" s="176" t="str">
        <f t="shared" si="76"/>
        <v>C</v>
      </c>
      <c r="E302" s="177" t="d">
        <v>2021-08-20T17:00:00.00000020954757600</v>
      </c>
      <c r="F302" s="178" t="s">
        <v>82</v>
      </c>
      <c r="G302" s="179">
        <v>4425.78</v>
      </c>
      <c r="H302" s="179">
        <v>4406.99</v>
      </c>
      <c r="I302" s="180">
        <f t="shared" si="77"/>
        <v>18.789999999999964</v>
      </c>
      <c r="J302" s="179">
        <v>4547.91</v>
      </c>
      <c r="K302" s="177" t="d">
        <v>2021-08-26T10:09:00.00000029336660775</v>
      </c>
      <c r="L302" s="179">
        <v>4485.0600000000004</v>
      </c>
      <c r="M302" s="181">
        <f t="shared" si="78"/>
        <v>59.28</v>
      </c>
      <c r="N302" s="182">
        <f t="shared" si="79"/>
        <v>3.15</v>
      </c>
      <c r="O302" s="183">
        <f t="shared" si="80"/>
        <v>0</v>
      </c>
      <c r="P302" s="184">
        <f t="shared" si="81"/>
        <v>3.15</v>
      </c>
      <c r="Q302" s="184">
        <f t="shared" si="82"/>
        <v>0</v>
      </c>
      <c r="R30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48495</v>
      </c>
      <c r="T30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48495</v>
      </c>
      <c r="U302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302" s="187">
        <f t="shared" si="83"/>
        <v>0</v>
      </c>
      <c r="W302" s="187">
        <f t="shared" si="84"/>
        <v>0</v>
      </c>
      <c r="X302" s="187">
        <f t="shared" si="85"/>
        <v>0</v>
      </c>
      <c r="Y302" s="187">
        <f t="shared" si="86"/>
        <v>0</v>
      </c>
      <c r="Z302" s="187">
        <f t="shared" si="87"/>
        <v>3.15</v>
      </c>
      <c r="AA302" s="183">
        <f t="shared" si="88"/>
        <v>0</v>
      </c>
      <c r="AB302" s="187">
        <f t="shared" si="89"/>
        <v>0</v>
      </c>
      <c r="AC302" s="183">
        <f t="shared" si="90"/>
        <v>0</v>
      </c>
      <c r="AD302" s="188">
        <f t="shared" si="91"/>
        <v>5.7145833333343035</v>
      </c>
      <c r="AE302" s="188">
        <f t="shared" si="92"/>
        <v>5.7145833333343035</v>
      </c>
      <c r="AF302" s="188">
        <f t="shared" si="93"/>
        <v>0</v>
      </c>
      <c r="AG302" s="188">
        <f t="shared" si="94"/>
        <v>0</v>
      </c>
    </row>
    <row r="303" spans="2:33" ht="15" customHeight="1" x14ac:dyDescent="0.15">
      <c r="B303" s="174" t="s">
        <v>7</v>
      </c>
      <c r="C303" s="175" t="s">
        <v>15</v>
      </c>
      <c r="D303" s="176" t="str">
        <f t="shared" si="76"/>
        <v>C</v>
      </c>
      <c r="E303" s="177" t="d">
        <v>2021-08-25T17:45:00.00000020954757600</v>
      </c>
      <c r="F303" s="178" t="s">
        <v>102</v>
      </c>
      <c r="G303" s="179">
        <v>151.07599999999999</v>
      </c>
      <c r="H303" s="179">
        <v>150.809</v>
      </c>
      <c r="I303" s="180">
        <f t="shared" si="77"/>
        <v>0.26699999999999591</v>
      </c>
      <c r="J303" s="179">
        <v>152.5</v>
      </c>
      <c r="K303" s="177" t="d">
        <v>2021-08-26T06:24:00.00000029336660775</v>
      </c>
      <c r="L303" s="179">
        <v>151.142</v>
      </c>
      <c r="M303" s="181">
        <f t="shared" si="78"/>
        <v>6.6000000000000003E-2</v>
      </c>
      <c r="N303" s="182">
        <f t="shared" si="79"/>
        <v>0.25</v>
      </c>
      <c r="O303" s="183">
        <f t="shared" si="80"/>
        <v>0</v>
      </c>
      <c r="P303" s="184">
        <f t="shared" si="81"/>
        <v>0.25</v>
      </c>
      <c r="Q303" s="184">
        <f t="shared" si="82"/>
        <v>0</v>
      </c>
      <c r="R30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47707.5</v>
      </c>
      <c r="T30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47707.5</v>
      </c>
      <c r="U303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303" s="187">
        <f t="shared" si="83"/>
        <v>0.25</v>
      </c>
      <c r="W303" s="187">
        <f t="shared" si="84"/>
        <v>0</v>
      </c>
      <c r="X303" s="187">
        <f t="shared" si="85"/>
        <v>0</v>
      </c>
      <c r="Y303" s="187">
        <f t="shared" si="86"/>
        <v>0</v>
      </c>
      <c r="Z303" s="187">
        <f t="shared" si="87"/>
        <v>0</v>
      </c>
      <c r="AA303" s="183">
        <f t="shared" si="88"/>
        <v>0</v>
      </c>
      <c r="AB303" s="187">
        <f t="shared" si="89"/>
        <v>0</v>
      </c>
      <c r="AC303" s="183">
        <f t="shared" si="90"/>
        <v>0</v>
      </c>
      <c r="AD303" s="188">
        <f t="shared" si="91"/>
        <v>0.52708333333430346</v>
      </c>
      <c r="AE303" s="188">
        <f t="shared" si="92"/>
        <v>0.52708333333430346</v>
      </c>
      <c r="AF303" s="188">
        <f t="shared" si="93"/>
        <v>0</v>
      </c>
      <c r="AG303" s="188">
        <f t="shared" si="94"/>
        <v>0</v>
      </c>
    </row>
    <row r="304" spans="2:33" ht="15" customHeight="1" x14ac:dyDescent="0.15">
      <c r="B304" s="174" t="s">
        <v>5</v>
      </c>
      <c r="C304" s="175" t="s">
        <v>15</v>
      </c>
      <c r="D304" s="176" t="str">
        <f t="shared" si="76"/>
        <v>C</v>
      </c>
      <c r="E304" s="177" t="d">
        <v>2021-08-20T17:00:00.00000020954757600</v>
      </c>
      <c r="F304" s="178" t="s">
        <v>81</v>
      </c>
      <c r="G304" s="179">
        <v>15043.76</v>
      </c>
      <c r="H304" s="179">
        <v>14976.62</v>
      </c>
      <c r="I304" s="180">
        <f t="shared" si="77"/>
        <v>67.139999999999418</v>
      </c>
      <c r="J304" s="179">
        <v>15446.59</v>
      </c>
      <c r="K304" s="177" t="d">
        <v>2021-08-24T14:23:59.99999987427145575</v>
      </c>
      <c r="L304" s="179">
        <v>15344.87</v>
      </c>
      <c r="M304" s="181">
        <f t="shared" si="78"/>
        <v>301.11</v>
      </c>
      <c r="N304" s="182">
        <f t="shared" si="79"/>
        <v>4.4800000000000004</v>
      </c>
      <c r="O304" s="183">
        <f t="shared" si="80"/>
        <v>0</v>
      </c>
      <c r="P304" s="184">
        <f t="shared" si="81"/>
        <v>4.4800000000000004</v>
      </c>
      <c r="Q304" s="184">
        <f t="shared" si="82"/>
        <v>0</v>
      </c>
      <c r="R30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47645</v>
      </c>
      <c r="T30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47645</v>
      </c>
      <c r="U304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304" s="187">
        <f t="shared" si="83"/>
        <v>0</v>
      </c>
      <c r="W304" s="187">
        <f t="shared" si="84"/>
        <v>0</v>
      </c>
      <c r="X304" s="187">
        <f t="shared" si="85"/>
        <v>0</v>
      </c>
      <c r="Y304" s="187">
        <f t="shared" si="86"/>
        <v>0</v>
      </c>
      <c r="Z304" s="187">
        <f t="shared" si="87"/>
        <v>4.4800000000000004</v>
      </c>
      <c r="AA304" s="183">
        <f t="shared" si="88"/>
        <v>0</v>
      </c>
      <c r="AB304" s="187">
        <f t="shared" si="89"/>
        <v>0</v>
      </c>
      <c r="AC304" s="183">
        <f t="shared" si="90"/>
        <v>0</v>
      </c>
      <c r="AD304" s="188">
        <f t="shared" si="91"/>
        <v>3.8916666666627862</v>
      </c>
      <c r="AE304" s="188">
        <f t="shared" si="92"/>
        <v>3.8916666666627862</v>
      </c>
      <c r="AF304" s="188">
        <f t="shared" si="93"/>
        <v>0</v>
      </c>
      <c r="AG304" s="188">
        <f t="shared" si="94"/>
        <v>0</v>
      </c>
    </row>
    <row r="305" spans="2:33" ht="15" customHeight="1" x14ac:dyDescent="0.15">
      <c r="B305" s="174" t="s">
        <v>19</v>
      </c>
      <c r="C305" s="175" t="s">
        <v>15</v>
      </c>
      <c r="D305" s="176" t="str">
        <f t="shared" si="76"/>
        <v>C</v>
      </c>
      <c r="E305" s="177" t="d">
        <v>2021-08-23T06:00:00.000</v>
      </c>
      <c r="F305" s="178" t="s">
        <v>77</v>
      </c>
      <c r="G305" s="179">
        <v>1788.08</v>
      </c>
      <c r="H305" s="179">
        <v>1783.57</v>
      </c>
      <c r="I305" s="180">
        <f t="shared" si="77"/>
        <v>4.5099999999999909</v>
      </c>
      <c r="J305" s="179">
        <v>1809.72</v>
      </c>
      <c r="K305" s="177" t="d">
        <v>2021-08-23T17:09:00.00000008381903175</v>
      </c>
      <c r="L305" s="179">
        <v>1800.32</v>
      </c>
      <c r="M305" s="181">
        <f t="shared" si="78"/>
        <v>12.24</v>
      </c>
      <c r="N305" s="182">
        <f t="shared" si="79"/>
        <v>2.71</v>
      </c>
      <c r="O305" s="183">
        <f t="shared" si="80"/>
        <v>0</v>
      </c>
      <c r="P305" s="184">
        <f t="shared" si="81"/>
        <v>2.71</v>
      </c>
      <c r="Q305" s="184">
        <f t="shared" si="82"/>
        <v>0</v>
      </c>
      <c r="R30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46525</v>
      </c>
      <c r="T30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05" s="186">
        <f ca="1">IF(Tabla33610673[[#This Row],[Equity]]&lt;Tabla33610673[[#This Row],[Equity Peak]],(Tabla33610673[[#This Row],[Equity Peak]]-Tabla33610673[[#This Row],[Equity]])/Tabla33610673[[#This Row],[Equity Peak]],"")</f>
        <v>1.8408143889445647E-2</v>
      </c>
      <c r="V305" s="187">
        <f t="shared" si="83"/>
        <v>0</v>
      </c>
      <c r="W305" s="187">
        <f t="shared" si="84"/>
        <v>0</v>
      </c>
      <c r="X305" s="187">
        <f t="shared" si="85"/>
        <v>2.71</v>
      </c>
      <c r="Y305" s="187">
        <f t="shared" si="86"/>
        <v>0</v>
      </c>
      <c r="Z305" s="187">
        <f t="shared" si="87"/>
        <v>0</v>
      </c>
      <c r="AA305" s="183">
        <f t="shared" si="88"/>
        <v>0</v>
      </c>
      <c r="AB305" s="187">
        <f t="shared" si="89"/>
        <v>0</v>
      </c>
      <c r="AC305" s="183">
        <f t="shared" si="90"/>
        <v>0</v>
      </c>
      <c r="AD305" s="188">
        <f t="shared" si="91"/>
        <v>0.46458333333430346</v>
      </c>
      <c r="AE305" s="188">
        <f t="shared" si="92"/>
        <v>0.46458333333430346</v>
      </c>
      <c r="AF305" s="188">
        <f t="shared" si="93"/>
        <v>0</v>
      </c>
      <c r="AG305" s="188">
        <f t="shared" si="94"/>
        <v>0</v>
      </c>
    </row>
    <row r="306" spans="2:33" ht="15" customHeight="1" x14ac:dyDescent="0.15">
      <c r="B306" s="174" t="s">
        <v>5</v>
      </c>
      <c r="C306" s="175" t="s">
        <v>13</v>
      </c>
      <c r="D306" s="176" t="str">
        <f t="shared" si="76"/>
        <v>C</v>
      </c>
      <c r="E306" s="177" t="d">
        <v>2021-08-20T10:30:00.000</v>
      </c>
      <c r="F306" s="178" t="s">
        <v>82</v>
      </c>
      <c r="G306" s="179">
        <v>4376.9799999999996</v>
      </c>
      <c r="H306" s="179">
        <v>4394.8</v>
      </c>
      <c r="I306" s="180">
        <f t="shared" si="77"/>
        <v>17.820000000000618</v>
      </c>
      <c r="J306" s="179">
        <v>4261.12</v>
      </c>
      <c r="K306" s="177" t="d">
        <v>2021-08-20T15:36:00.00000012572854425</v>
      </c>
      <c r="L306" s="179">
        <v>4394.8</v>
      </c>
      <c r="M306" s="181">
        <f t="shared" si="78"/>
        <v>-17.82</v>
      </c>
      <c r="N306" s="182">
        <f t="shared" si="79"/>
        <v>-1</v>
      </c>
      <c r="O306" s="183">
        <f t="shared" si="80"/>
        <v>0</v>
      </c>
      <c r="P306" s="184">
        <f t="shared" si="81"/>
        <v>0</v>
      </c>
      <c r="Q306" s="184">
        <f t="shared" si="82"/>
        <v>-1</v>
      </c>
      <c r="R30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45847.5</v>
      </c>
      <c r="T30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06" s="186">
        <f ca="1">IF(Tabla33610673[[#This Row],[Equity]]&lt;Tabla33610673[[#This Row],[Equity Peak]],(Tabla33610673[[#This Row],[Equity Peak]]-Tabla33610673[[#This Row],[Equity]])/Tabla33610673[[#This Row],[Equity Peak]],"")</f>
        <v>3.2702146737697134E-2</v>
      </c>
      <c r="V306" s="187">
        <f t="shared" si="83"/>
        <v>0</v>
      </c>
      <c r="W306" s="187">
        <f t="shared" si="84"/>
        <v>0</v>
      </c>
      <c r="X306" s="187">
        <f t="shared" si="85"/>
        <v>0</v>
      </c>
      <c r="Y306" s="187">
        <f t="shared" si="86"/>
        <v>0</v>
      </c>
      <c r="Z306" s="187">
        <f t="shared" si="87"/>
        <v>-1</v>
      </c>
      <c r="AA306" s="183">
        <f t="shared" si="88"/>
        <v>0</v>
      </c>
      <c r="AB306" s="187">
        <f t="shared" si="89"/>
        <v>0</v>
      </c>
      <c r="AC306" s="183">
        <f t="shared" si="90"/>
        <v>0</v>
      </c>
      <c r="AD306" s="188">
        <f t="shared" si="91"/>
        <v>0.21250000000145519</v>
      </c>
      <c r="AE306" s="188">
        <f t="shared" si="92"/>
        <v>0</v>
      </c>
      <c r="AF306" s="188">
        <f t="shared" si="93"/>
        <v>0.21250000000145519</v>
      </c>
      <c r="AG306" s="188">
        <f t="shared" si="94"/>
        <v>0</v>
      </c>
    </row>
    <row r="307" spans="2:33" ht="15" customHeight="1" x14ac:dyDescent="0.15">
      <c r="B307" s="174" t="s">
        <v>19</v>
      </c>
      <c r="C307" s="175" t="s">
        <v>15</v>
      </c>
      <c r="D307" s="176" t="str">
        <f t="shared" si="76"/>
        <v>C</v>
      </c>
      <c r="E307" s="177" t="d">
        <v>2021-08-20T06:59:59.99999979045242400</v>
      </c>
      <c r="F307" s="178" t="s">
        <v>77</v>
      </c>
      <c r="G307" s="179">
        <v>1785.38</v>
      </c>
      <c r="H307" s="179">
        <v>1780.96</v>
      </c>
      <c r="I307" s="180">
        <f t="shared" si="77"/>
        <v>4.4200000000000728</v>
      </c>
      <c r="J307" s="179">
        <v>1806.61</v>
      </c>
      <c r="K307" s="177" t="d">
        <v>2021-08-20T11:54:00.00000008381903175</v>
      </c>
      <c r="L307" s="179">
        <v>1780.96</v>
      </c>
      <c r="M307" s="181">
        <f t="shared" si="78"/>
        <v>-4.42</v>
      </c>
      <c r="N307" s="182">
        <f t="shared" si="79"/>
        <v>-1</v>
      </c>
      <c r="O307" s="183">
        <f t="shared" si="80"/>
        <v>0</v>
      </c>
      <c r="P307" s="184">
        <f t="shared" si="81"/>
        <v>0</v>
      </c>
      <c r="Q307" s="184">
        <f t="shared" si="82"/>
        <v>-1</v>
      </c>
      <c r="R30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46097.5</v>
      </c>
      <c r="T30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07" s="186">
        <f ca="1">IF(Tabla33610673[[#This Row],[Equity]]&lt;Tabla33610673[[#This Row],[Equity Peak]],(Tabla33610673[[#This Row],[Equity Peak]]-Tabla33610673[[#This Row],[Equity]])/Tabla33610673[[#This Row],[Equity Peak]],"")</f>
        <v>2.7427606941294373E-2</v>
      </c>
      <c r="V307" s="187">
        <f t="shared" si="83"/>
        <v>0</v>
      </c>
      <c r="W307" s="187">
        <f t="shared" si="84"/>
        <v>0</v>
      </c>
      <c r="X307" s="187">
        <f t="shared" si="85"/>
        <v>-1</v>
      </c>
      <c r="Y307" s="187">
        <f t="shared" si="86"/>
        <v>0</v>
      </c>
      <c r="Z307" s="187">
        <f t="shared" si="87"/>
        <v>0</v>
      </c>
      <c r="AA307" s="183">
        <f t="shared" si="88"/>
        <v>0</v>
      </c>
      <c r="AB307" s="187">
        <f t="shared" si="89"/>
        <v>0</v>
      </c>
      <c r="AC307" s="183">
        <f t="shared" si="90"/>
        <v>0</v>
      </c>
      <c r="AD307" s="188">
        <f t="shared" si="91"/>
        <v>0.20416666667006211</v>
      </c>
      <c r="AE307" s="188">
        <f t="shared" si="92"/>
        <v>0</v>
      </c>
      <c r="AF307" s="188">
        <f t="shared" si="93"/>
        <v>0.20416666667006211</v>
      </c>
      <c r="AG307" s="188">
        <f t="shared" si="94"/>
        <v>0</v>
      </c>
    </row>
    <row r="308" spans="2:33" ht="15" customHeight="1" x14ac:dyDescent="0.15">
      <c r="B308" s="174" t="s">
        <v>19</v>
      </c>
      <c r="C308" s="175" t="s">
        <v>15</v>
      </c>
      <c r="D308" s="176" t="str">
        <f t="shared" si="76"/>
        <v>C</v>
      </c>
      <c r="E308" s="177" t="d">
        <v>2021-08-19T16:15:00.00000020954757600</v>
      </c>
      <c r="F308" s="178" t="s">
        <v>77</v>
      </c>
      <c r="G308" s="179">
        <v>1790.94</v>
      </c>
      <c r="H308" s="179">
        <v>1786.38</v>
      </c>
      <c r="I308" s="180">
        <f t="shared" si="77"/>
        <v>4.5599999999999454</v>
      </c>
      <c r="J308" s="179">
        <v>1812.83</v>
      </c>
      <c r="K308" s="177" t="d">
        <v>2021-08-19T16:34:00.00000015366822150</v>
      </c>
      <c r="L308" s="179">
        <v>1786.38</v>
      </c>
      <c r="M308" s="181">
        <f t="shared" si="78"/>
        <v>-4.5599999999999996</v>
      </c>
      <c r="N308" s="182">
        <f t="shared" si="79"/>
        <v>-1</v>
      </c>
      <c r="O308" s="183">
        <f t="shared" si="80"/>
        <v>0</v>
      </c>
      <c r="P308" s="184">
        <f t="shared" si="81"/>
        <v>0</v>
      </c>
      <c r="Q308" s="184">
        <f t="shared" si="82"/>
        <v>-1</v>
      </c>
      <c r="R30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46347.5</v>
      </c>
      <c r="T30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08" s="186">
        <f ca="1">IF(Tabla33610673[[#This Row],[Equity]]&lt;Tabla33610673[[#This Row],[Equity Peak]],(Tabla33610673[[#This Row],[Equity Peak]]-Tabla33610673[[#This Row],[Equity]])/Tabla33610673[[#This Row],[Equity Peak]],"")</f>
        <v>2.2153067144891608E-2</v>
      </c>
      <c r="V308" s="187">
        <f t="shared" si="83"/>
        <v>0</v>
      </c>
      <c r="W308" s="187">
        <f t="shared" si="84"/>
        <v>0</v>
      </c>
      <c r="X308" s="187">
        <f t="shared" si="85"/>
        <v>-1</v>
      </c>
      <c r="Y308" s="187">
        <f t="shared" si="86"/>
        <v>0</v>
      </c>
      <c r="Z308" s="187">
        <f t="shared" si="87"/>
        <v>0</v>
      </c>
      <c r="AA308" s="183">
        <f t="shared" si="88"/>
        <v>0</v>
      </c>
      <c r="AB308" s="187">
        <f t="shared" si="89"/>
        <v>0</v>
      </c>
      <c r="AC308" s="183">
        <f t="shared" si="90"/>
        <v>0</v>
      </c>
      <c r="AD308" s="188">
        <f t="shared" si="91"/>
        <v>1.3194444443797693E-2</v>
      </c>
      <c r="AE308" s="188">
        <f t="shared" si="92"/>
        <v>0</v>
      </c>
      <c r="AF308" s="188">
        <f t="shared" si="93"/>
        <v>1.3194444443797693E-2</v>
      </c>
      <c r="AG308" s="188">
        <f t="shared" si="94"/>
        <v>0</v>
      </c>
    </row>
    <row r="309" spans="2:33" ht="15" customHeight="1" x14ac:dyDescent="0.15">
      <c r="B309" s="174" t="s">
        <v>19</v>
      </c>
      <c r="C309" s="175" t="s">
        <v>15</v>
      </c>
      <c r="D309" s="176" t="str">
        <f t="shared" si="76"/>
        <v>C</v>
      </c>
      <c r="E309" s="177" t="d">
        <v>2021-08-19T12:30:00.00000020954757600</v>
      </c>
      <c r="F309" s="178" t="s">
        <v>77</v>
      </c>
      <c r="G309" s="179">
        <v>1789.63</v>
      </c>
      <c r="H309" s="179">
        <v>1785.16</v>
      </c>
      <c r="I309" s="180">
        <f t="shared" si="77"/>
        <v>4.4700000000000273</v>
      </c>
      <c r="J309" s="179">
        <v>1811.08</v>
      </c>
      <c r="K309" s="177" t="d">
        <v>2021-08-19T15:08:59.99999987427145575</v>
      </c>
      <c r="L309" s="179">
        <v>1785.16</v>
      </c>
      <c r="M309" s="181">
        <f t="shared" si="78"/>
        <v>-4.47</v>
      </c>
      <c r="N309" s="182">
        <f t="shared" si="79"/>
        <v>-1</v>
      </c>
      <c r="O309" s="183">
        <f t="shared" si="80"/>
        <v>0</v>
      </c>
      <c r="P309" s="184">
        <f t="shared" si="81"/>
        <v>0</v>
      </c>
      <c r="Q309" s="184">
        <f t="shared" si="82"/>
        <v>-1</v>
      </c>
      <c r="R30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46597.5</v>
      </c>
      <c r="T30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09" s="186">
        <f ca="1">IF(Tabla33610673[[#This Row],[Equity]]&lt;Tabla33610673[[#This Row],[Equity Peak]],(Tabla33610673[[#This Row],[Equity Peak]]-Tabla33610673[[#This Row],[Equity]])/Tabla33610673[[#This Row],[Equity Peak]],"")</f>
        <v>1.6878527348488843E-2</v>
      </c>
      <c r="V309" s="187">
        <f t="shared" si="83"/>
        <v>0</v>
      </c>
      <c r="W309" s="187">
        <f t="shared" si="84"/>
        <v>0</v>
      </c>
      <c r="X309" s="187">
        <f t="shared" si="85"/>
        <v>-1</v>
      </c>
      <c r="Y309" s="187">
        <f t="shared" si="86"/>
        <v>0</v>
      </c>
      <c r="Z309" s="187">
        <f t="shared" si="87"/>
        <v>0</v>
      </c>
      <c r="AA309" s="183">
        <f t="shared" si="88"/>
        <v>0</v>
      </c>
      <c r="AB309" s="187">
        <f t="shared" si="89"/>
        <v>0</v>
      </c>
      <c r="AC309" s="183">
        <f t="shared" si="90"/>
        <v>0</v>
      </c>
      <c r="AD309" s="188">
        <f t="shared" si="91"/>
        <v>0.11041666666278616</v>
      </c>
      <c r="AE309" s="188">
        <f t="shared" si="92"/>
        <v>0</v>
      </c>
      <c r="AF309" s="188">
        <f t="shared" si="93"/>
        <v>0.11041666666278616</v>
      </c>
      <c r="AG309" s="188">
        <f t="shared" si="94"/>
        <v>0</v>
      </c>
    </row>
    <row r="310" spans="2:33" ht="15" customHeight="1" x14ac:dyDescent="0.15">
      <c r="B310" s="174" t="s">
        <v>5</v>
      </c>
      <c r="C310" s="175" t="s">
        <v>13</v>
      </c>
      <c r="D310" s="176" t="str">
        <f t="shared" si="76"/>
        <v>C</v>
      </c>
      <c r="E310" s="177" t="d">
        <v>2021-08-19T11:15:00.000</v>
      </c>
      <c r="F310" s="178" t="s">
        <v>80</v>
      </c>
      <c r="G310" s="179">
        <v>15712.98</v>
      </c>
      <c r="H310" s="179">
        <v>15764.68</v>
      </c>
      <c r="I310" s="180">
        <f t="shared" si="77"/>
        <v>51.700000000000728</v>
      </c>
      <c r="J310" s="179">
        <v>15333.88</v>
      </c>
      <c r="K310" s="177" t="d">
        <v>2021-08-19T13:08:00.000000097788870375</v>
      </c>
      <c r="L310" s="179">
        <v>15720.82</v>
      </c>
      <c r="M310" s="181">
        <f t="shared" si="78"/>
        <v>-7.84</v>
      </c>
      <c r="N310" s="182">
        <f t="shared" si="79"/>
        <v>-0.15</v>
      </c>
      <c r="O310" s="183">
        <f t="shared" si="80"/>
        <v>0</v>
      </c>
      <c r="P310" s="184">
        <f t="shared" si="81"/>
        <v>0</v>
      </c>
      <c r="Q310" s="184">
        <f t="shared" si="82"/>
        <v>-0.15</v>
      </c>
      <c r="R31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46847.5</v>
      </c>
      <c r="T31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10" s="186">
        <f ca="1">IF(Tabla33610673[[#This Row],[Equity]]&lt;Tabla33610673[[#This Row],[Equity Peak]],(Tabla33610673[[#This Row],[Equity Peak]]-Tabla33610673[[#This Row],[Equity]])/Tabla33610673[[#This Row],[Equity Peak]],"")</f>
        <v>1.1603987552086081E-2</v>
      </c>
      <c r="V310" s="187">
        <f t="shared" si="83"/>
        <v>0</v>
      </c>
      <c r="W310" s="187">
        <f t="shared" si="84"/>
        <v>0</v>
      </c>
      <c r="X310" s="187">
        <f t="shared" si="85"/>
        <v>0</v>
      </c>
      <c r="Y310" s="187">
        <f t="shared" si="86"/>
        <v>0</v>
      </c>
      <c r="Z310" s="187">
        <f t="shared" si="87"/>
        <v>-0.15</v>
      </c>
      <c r="AA310" s="183">
        <f t="shared" si="88"/>
        <v>0</v>
      </c>
      <c r="AB310" s="187">
        <f t="shared" si="89"/>
        <v>0</v>
      </c>
      <c r="AC310" s="183">
        <f t="shared" si="90"/>
        <v>0</v>
      </c>
      <c r="AD310" s="188">
        <f t="shared" si="91"/>
        <v>7.8472222223354038E-2</v>
      </c>
      <c r="AE310" s="188">
        <f t="shared" si="92"/>
        <v>0</v>
      </c>
      <c r="AF310" s="188">
        <f t="shared" si="93"/>
        <v>7.8472222223354038E-2</v>
      </c>
      <c r="AG310" s="188">
        <f t="shared" si="94"/>
        <v>0</v>
      </c>
    </row>
    <row r="311" spans="2:33" ht="15" customHeight="1" x14ac:dyDescent="0.15">
      <c r="B311" s="174" t="s">
        <v>5</v>
      </c>
      <c r="C311" s="175" t="s">
        <v>13</v>
      </c>
      <c r="D311" s="176" t="str">
        <f t="shared" si="76"/>
        <v>C</v>
      </c>
      <c r="E311" s="177" t="d">
        <v>2021-08-18T23:00:00.00000020954757600</v>
      </c>
      <c r="F311" s="178" t="s">
        <v>81</v>
      </c>
      <c r="G311" s="179">
        <v>14859.1</v>
      </c>
      <c r="H311" s="179">
        <v>14911.87</v>
      </c>
      <c r="I311" s="180">
        <f t="shared" si="77"/>
        <v>52.770000000000437</v>
      </c>
      <c r="J311" s="179">
        <v>14542.48</v>
      </c>
      <c r="K311" s="177" t="d">
        <v>2021-08-19T12:50:59.99999991618096825</v>
      </c>
      <c r="L311" s="179">
        <v>14778.2</v>
      </c>
      <c r="M311" s="181">
        <f t="shared" si="78"/>
        <v>80.900000000000006</v>
      </c>
      <c r="N311" s="182">
        <f t="shared" si="79"/>
        <v>1.53</v>
      </c>
      <c r="O311" s="183">
        <f t="shared" si="80"/>
        <v>0</v>
      </c>
      <c r="P311" s="184">
        <f t="shared" si="81"/>
        <v>1.53</v>
      </c>
      <c r="Q311" s="184">
        <f t="shared" si="82"/>
        <v>0</v>
      </c>
      <c r="R31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46885</v>
      </c>
      <c r="T31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11" s="186">
        <f ca="1">IF(Tabla33610673[[#This Row],[Equity]]&lt;Tabla33610673[[#This Row],[Equity Peak]],(Tabla33610673[[#This Row],[Equity Peak]]-Tabla33610673[[#This Row],[Equity]])/Tabla33610673[[#This Row],[Equity Peak]],"")</f>
        <v>1.0812806582625666E-2</v>
      </c>
      <c r="V311" s="187">
        <f t="shared" si="83"/>
        <v>0</v>
      </c>
      <c r="W311" s="187">
        <f t="shared" si="84"/>
        <v>0</v>
      </c>
      <c r="X311" s="187">
        <f t="shared" si="85"/>
        <v>0</v>
      </c>
      <c r="Y311" s="187">
        <f t="shared" si="86"/>
        <v>0</v>
      </c>
      <c r="Z311" s="187">
        <f t="shared" si="87"/>
        <v>1.53</v>
      </c>
      <c r="AA311" s="183">
        <f t="shared" si="88"/>
        <v>0</v>
      </c>
      <c r="AB311" s="187">
        <f t="shared" si="89"/>
        <v>0</v>
      </c>
      <c r="AC311" s="183">
        <f t="shared" si="90"/>
        <v>0</v>
      </c>
      <c r="AD311" s="188">
        <f t="shared" si="91"/>
        <v>0.57708333332993789</v>
      </c>
      <c r="AE311" s="188">
        <f t="shared" si="92"/>
        <v>0.57708333332993789</v>
      </c>
      <c r="AF311" s="188">
        <f t="shared" si="93"/>
        <v>0</v>
      </c>
      <c r="AG311" s="188">
        <f t="shared" si="94"/>
        <v>0</v>
      </c>
    </row>
    <row r="312" spans="2:33" ht="15" customHeight="1" x14ac:dyDescent="0.15">
      <c r="B312" s="174" t="s">
        <v>7</v>
      </c>
      <c r="C312" s="175" t="s">
        <v>13</v>
      </c>
      <c r="D312" s="176" t="str">
        <f t="shared" si="76"/>
        <v>C</v>
      </c>
      <c r="E312" s="177" t="d">
        <v>2021-08-19T11:15:00.000</v>
      </c>
      <c r="F312" s="178" t="s">
        <v>102</v>
      </c>
      <c r="G312" s="179">
        <v>150.18199999999999</v>
      </c>
      <c r="H312" s="179">
        <v>150.45400000000001</v>
      </c>
      <c r="I312" s="180">
        <f t="shared" si="77"/>
        <v>0.27200000000001978</v>
      </c>
      <c r="J312" s="179">
        <v>148.73099999999999</v>
      </c>
      <c r="K312" s="177" t="d">
        <v>2021-08-19T12:39:00.00000008381903175</v>
      </c>
      <c r="L312" s="179">
        <v>150.09800000000001</v>
      </c>
      <c r="M312" s="181">
        <f t="shared" si="78"/>
        <v>8.4000000000000005E-2</v>
      </c>
      <c r="N312" s="182">
        <f t="shared" si="79"/>
        <v>0.31</v>
      </c>
      <c r="O312" s="183">
        <f t="shared" si="80"/>
        <v>0</v>
      </c>
      <c r="P312" s="184">
        <f t="shared" si="81"/>
        <v>0.31</v>
      </c>
      <c r="Q312" s="184">
        <f t="shared" si="82"/>
        <v>0</v>
      </c>
      <c r="R31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46502.5</v>
      </c>
      <c r="T31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12" s="186">
        <f ca="1">IF(Tabla33610673[[#This Row],[Equity]]&lt;Tabla33610673[[#This Row],[Equity Peak]],(Tabla33610673[[#This Row],[Equity Peak]]-Tabla33610673[[#This Row],[Equity]])/Tabla33610673[[#This Row],[Equity Peak]],"")</f>
        <v>1.8882852471121894E-2</v>
      </c>
      <c r="V312" s="187">
        <f t="shared" si="83"/>
        <v>0.31</v>
      </c>
      <c r="W312" s="187">
        <f t="shared" si="84"/>
        <v>0</v>
      </c>
      <c r="X312" s="187">
        <f t="shared" si="85"/>
        <v>0</v>
      </c>
      <c r="Y312" s="187">
        <f t="shared" si="86"/>
        <v>0</v>
      </c>
      <c r="Z312" s="187">
        <f t="shared" si="87"/>
        <v>0</v>
      </c>
      <c r="AA312" s="183">
        <f t="shared" si="88"/>
        <v>0</v>
      </c>
      <c r="AB312" s="187">
        <f t="shared" si="89"/>
        <v>0</v>
      </c>
      <c r="AC312" s="183">
        <f t="shared" si="90"/>
        <v>0</v>
      </c>
      <c r="AD312" s="188">
        <f t="shared" si="91"/>
        <v>5.8333333334303461E-2</v>
      </c>
      <c r="AE312" s="188">
        <f t="shared" si="92"/>
        <v>5.8333333334303461E-2</v>
      </c>
      <c r="AF312" s="188">
        <f t="shared" si="93"/>
        <v>0</v>
      </c>
      <c r="AG312" s="188">
        <f t="shared" si="94"/>
        <v>0</v>
      </c>
    </row>
    <row r="313" spans="2:33" ht="15" customHeight="1" x14ac:dyDescent="0.15">
      <c r="B313" s="174" t="s">
        <v>5</v>
      </c>
      <c r="C313" s="175" t="s">
        <v>13</v>
      </c>
      <c r="D313" s="176" t="str">
        <f t="shared" si="76"/>
        <v>C</v>
      </c>
      <c r="E313" s="177" t="d">
        <v>2021-08-18T21:14:59.99999979045242400</v>
      </c>
      <c r="F313" s="178" t="s">
        <v>82</v>
      </c>
      <c r="G313" s="179">
        <v>4432.41</v>
      </c>
      <c r="H313" s="179">
        <v>4444.1400000000003</v>
      </c>
      <c r="I313" s="180">
        <f t="shared" si="77"/>
        <v>11.730000000000473</v>
      </c>
      <c r="J313" s="179">
        <v>4356.1899999999996</v>
      </c>
      <c r="K313" s="177" t="d">
        <v>2021-08-19T12:07:00.00000011175870900</v>
      </c>
      <c r="L313" s="179">
        <v>4356.1899999999996</v>
      </c>
      <c r="M313" s="181">
        <f t="shared" si="78"/>
        <v>76.22</v>
      </c>
      <c r="N313" s="182">
        <f t="shared" si="79"/>
        <v>6.5</v>
      </c>
      <c r="O313" s="183">
        <f t="shared" si="80"/>
        <v>0</v>
      </c>
      <c r="P313" s="184">
        <f t="shared" si="81"/>
        <v>6.5</v>
      </c>
      <c r="Q313" s="184">
        <f t="shared" si="82"/>
        <v>0</v>
      </c>
      <c r="R31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46425</v>
      </c>
      <c r="T31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13" s="186">
        <f ca="1">IF(Tabla33610673[[#This Row],[Equity]]&lt;Tabla33610673[[#This Row],[Equity Peak]],(Tabla33610673[[#This Row],[Equity Peak]]-Tabla33610673[[#This Row],[Equity]])/Tabla33610673[[#This Row],[Equity Peak]],"")</f>
        <v>2.0517959808006751E-2</v>
      </c>
      <c r="V313" s="187">
        <f t="shared" si="83"/>
        <v>0</v>
      </c>
      <c r="W313" s="187">
        <f t="shared" si="84"/>
        <v>0</v>
      </c>
      <c r="X313" s="187">
        <f t="shared" si="85"/>
        <v>0</v>
      </c>
      <c r="Y313" s="187">
        <f t="shared" si="86"/>
        <v>0</v>
      </c>
      <c r="Z313" s="187">
        <f t="shared" si="87"/>
        <v>6.5</v>
      </c>
      <c r="AA313" s="183">
        <f t="shared" si="88"/>
        <v>0</v>
      </c>
      <c r="AB313" s="187">
        <f t="shared" si="89"/>
        <v>0</v>
      </c>
      <c r="AC313" s="183">
        <f t="shared" si="90"/>
        <v>0</v>
      </c>
      <c r="AD313" s="188">
        <f t="shared" si="91"/>
        <v>0.61944444444816327</v>
      </c>
      <c r="AE313" s="188">
        <f t="shared" si="92"/>
        <v>0.61944444444816327</v>
      </c>
      <c r="AF313" s="188">
        <f t="shared" si="93"/>
        <v>0</v>
      </c>
      <c r="AG313" s="188">
        <f t="shared" si="94"/>
        <v>0</v>
      </c>
    </row>
    <row r="314" spans="2:33" ht="15" customHeight="1" x14ac:dyDescent="0.15">
      <c r="B314" s="174" t="s">
        <v>5</v>
      </c>
      <c r="C314" s="175" t="s">
        <v>13</v>
      </c>
      <c r="D314" s="176" t="str">
        <f t="shared" si="76"/>
        <v>C</v>
      </c>
      <c r="E314" s="177" t="d">
        <v>2021-08-17T20:00:00.00000020954757600</v>
      </c>
      <c r="F314" s="178" t="s">
        <v>81</v>
      </c>
      <c r="G314" s="179">
        <v>14908.04</v>
      </c>
      <c r="H314" s="179">
        <v>14952.15</v>
      </c>
      <c r="I314" s="180">
        <f t="shared" si="77"/>
        <v>44.109999999998763</v>
      </c>
      <c r="J314" s="179">
        <v>14643.38</v>
      </c>
      <c r="K314" s="177" t="d">
        <v>2021-08-17T20:23:59.99999987427145575</v>
      </c>
      <c r="L314" s="179">
        <v>14952.15</v>
      </c>
      <c r="M314" s="181">
        <f t="shared" si="78"/>
        <v>-44.11</v>
      </c>
      <c r="N314" s="182">
        <f t="shared" si="79"/>
        <v>-1</v>
      </c>
      <c r="O314" s="183">
        <f t="shared" si="80"/>
        <v>0</v>
      </c>
      <c r="P314" s="184">
        <f t="shared" si="81"/>
        <v>0</v>
      </c>
      <c r="Q314" s="184">
        <f t="shared" si="82"/>
        <v>-1</v>
      </c>
      <c r="R31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44800</v>
      </c>
      <c r="T31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14" s="186">
        <f ca="1">IF(Tabla33610673[[#This Row],[Equity]]&lt;Tabla33610673[[#This Row],[Equity Peak]],(Tabla33610673[[#This Row],[Equity Peak]]-Tabla33610673[[#This Row],[Equity]])/Tabla33610673[[#This Row],[Equity Peak]],"")</f>
        <v>5.4802468484624715E-2</v>
      </c>
      <c r="V314" s="187">
        <f t="shared" si="83"/>
        <v>0</v>
      </c>
      <c r="W314" s="187">
        <f t="shared" si="84"/>
        <v>0</v>
      </c>
      <c r="X314" s="187">
        <f t="shared" si="85"/>
        <v>0</v>
      </c>
      <c r="Y314" s="187">
        <f t="shared" si="86"/>
        <v>0</v>
      </c>
      <c r="Z314" s="187">
        <f t="shared" si="87"/>
        <v>-1</v>
      </c>
      <c r="AA314" s="183">
        <f t="shared" si="88"/>
        <v>0</v>
      </c>
      <c r="AB314" s="187">
        <f t="shared" si="89"/>
        <v>0</v>
      </c>
      <c r="AC314" s="183">
        <f t="shared" si="90"/>
        <v>0</v>
      </c>
      <c r="AD314" s="188">
        <f t="shared" si="91"/>
        <v>1.6666666662786156E-2</v>
      </c>
      <c r="AE314" s="188">
        <f t="shared" si="92"/>
        <v>0</v>
      </c>
      <c r="AF314" s="188">
        <f t="shared" si="93"/>
        <v>1.6666666662786156E-2</v>
      </c>
      <c r="AG314" s="188">
        <f t="shared" si="94"/>
        <v>0</v>
      </c>
    </row>
    <row r="315" spans="2:33" ht="15" customHeight="1" x14ac:dyDescent="0.15">
      <c r="B315" s="174" t="s">
        <v>5</v>
      </c>
      <c r="C315" s="175" t="s">
        <v>13</v>
      </c>
      <c r="D315" s="176" t="str">
        <f t="shared" si="76"/>
        <v>C</v>
      </c>
      <c r="E315" s="177" t="d">
        <v>2021-08-17T18:59:59.99999979045242400</v>
      </c>
      <c r="F315" s="178" t="s">
        <v>82</v>
      </c>
      <c r="G315" s="179">
        <v>4438.84</v>
      </c>
      <c r="H315" s="179">
        <v>4448.5600000000004</v>
      </c>
      <c r="I315" s="180">
        <f t="shared" si="77"/>
        <v>9.7200000000002547</v>
      </c>
      <c r="J315" s="179">
        <v>4375.63</v>
      </c>
      <c r="K315" s="177" t="d">
        <v>2021-08-17T20:09:00.00000008381903175</v>
      </c>
      <c r="L315" s="179">
        <v>4428.3900000000003</v>
      </c>
      <c r="M315" s="181">
        <f t="shared" si="78"/>
        <v>10.45</v>
      </c>
      <c r="N315" s="182">
        <f t="shared" si="79"/>
        <v>1.08</v>
      </c>
      <c r="O315" s="183">
        <f t="shared" si="80"/>
        <v>0</v>
      </c>
      <c r="P315" s="184">
        <f t="shared" si="81"/>
        <v>1.08</v>
      </c>
      <c r="Q315" s="184">
        <f t="shared" si="82"/>
        <v>0</v>
      </c>
      <c r="R31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45050</v>
      </c>
      <c r="T31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15" s="186">
        <f ca="1">IF(Tabla33610673[[#This Row],[Equity]]&lt;Tabla33610673[[#This Row],[Equity Peak]],(Tabla33610673[[#This Row],[Equity Peak]]-Tabla33610673[[#This Row],[Equity]])/Tabla33610673[[#This Row],[Equity Peak]],"")</f>
        <v>4.952792868822195E-2</v>
      </c>
      <c r="V315" s="187">
        <f t="shared" si="83"/>
        <v>0</v>
      </c>
      <c r="W315" s="187">
        <f t="shared" si="84"/>
        <v>0</v>
      </c>
      <c r="X315" s="187">
        <f t="shared" si="85"/>
        <v>0</v>
      </c>
      <c r="Y315" s="187">
        <f t="shared" si="86"/>
        <v>0</v>
      </c>
      <c r="Z315" s="187">
        <f t="shared" si="87"/>
        <v>1.08</v>
      </c>
      <c r="AA315" s="183">
        <f t="shared" si="88"/>
        <v>0</v>
      </c>
      <c r="AB315" s="187">
        <f t="shared" si="89"/>
        <v>0</v>
      </c>
      <c r="AC315" s="183">
        <f t="shared" si="90"/>
        <v>0</v>
      </c>
      <c r="AD315" s="188">
        <f t="shared" si="91"/>
        <v>4.7916666670062114E-2</v>
      </c>
      <c r="AE315" s="188">
        <f t="shared" si="92"/>
        <v>4.7916666670062114E-2</v>
      </c>
      <c r="AF315" s="188">
        <f t="shared" si="93"/>
        <v>0</v>
      </c>
      <c r="AG315" s="188">
        <f t="shared" si="94"/>
        <v>0</v>
      </c>
    </row>
    <row r="316" spans="2:33" ht="15" customHeight="1" x14ac:dyDescent="0.15">
      <c r="B316" s="174" t="s">
        <v>5</v>
      </c>
      <c r="C316" s="175" t="s">
        <v>15</v>
      </c>
      <c r="D316" s="176" t="str">
        <f t="shared" si="76"/>
        <v>C</v>
      </c>
      <c r="E316" s="177" t="d">
        <v>2021-08-16T20:45:00.00000020954757600</v>
      </c>
      <c r="F316" s="178" t="s">
        <v>82</v>
      </c>
      <c r="G316" s="179">
        <v>4464.78</v>
      </c>
      <c r="H316" s="179">
        <v>4456.1000000000004</v>
      </c>
      <c r="I316" s="180">
        <f t="shared" si="77"/>
        <v>8.6799999999993815</v>
      </c>
      <c r="J316" s="179">
        <v>4521.17</v>
      </c>
      <c r="K316" s="177" t="d">
        <v>2021-08-17T03:42:00.0000000419095125</v>
      </c>
      <c r="L316" s="179">
        <v>4470.37</v>
      </c>
      <c r="M316" s="181">
        <f t="shared" si="78"/>
        <v>5.59</v>
      </c>
      <c r="N316" s="182">
        <f t="shared" si="79"/>
        <v>0.64</v>
      </c>
      <c r="O316" s="183">
        <f t="shared" si="80"/>
        <v>0</v>
      </c>
      <c r="P316" s="184">
        <f t="shared" si="81"/>
        <v>0.64</v>
      </c>
      <c r="Q316" s="184">
        <f t="shared" si="82"/>
        <v>0</v>
      </c>
      <c r="R31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44780</v>
      </c>
      <c r="T31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16" s="186">
        <f ca="1">IF(Tabla33610673[[#This Row],[Equity]]&lt;Tabla33610673[[#This Row],[Equity Peak]],(Tabla33610673[[#This Row],[Equity Peak]]-Tabla33610673[[#This Row],[Equity]])/Tabla33610673[[#This Row],[Equity Peak]],"")</f>
        <v>5.5224431668336939E-2</v>
      </c>
      <c r="V316" s="187">
        <f t="shared" si="83"/>
        <v>0</v>
      </c>
      <c r="W316" s="187">
        <f t="shared" si="84"/>
        <v>0</v>
      </c>
      <c r="X316" s="187">
        <f t="shared" si="85"/>
        <v>0</v>
      </c>
      <c r="Y316" s="187">
        <f t="shared" si="86"/>
        <v>0</v>
      </c>
      <c r="Z316" s="187">
        <f t="shared" si="87"/>
        <v>0.64</v>
      </c>
      <c r="AA316" s="183">
        <f t="shared" si="88"/>
        <v>0</v>
      </c>
      <c r="AB316" s="187">
        <f t="shared" si="89"/>
        <v>0</v>
      </c>
      <c r="AC316" s="183">
        <f t="shared" si="90"/>
        <v>0</v>
      </c>
      <c r="AD316" s="188">
        <f t="shared" si="91"/>
        <v>0.28958333333139308</v>
      </c>
      <c r="AE316" s="188">
        <f t="shared" si="92"/>
        <v>0.28958333333139308</v>
      </c>
      <c r="AF316" s="188">
        <f t="shared" si="93"/>
        <v>0</v>
      </c>
      <c r="AG316" s="188">
        <f t="shared" si="94"/>
        <v>0</v>
      </c>
    </row>
    <row r="317" spans="2:33" ht="15" customHeight="1" x14ac:dyDescent="0.15">
      <c r="B317" s="174" t="s">
        <v>5</v>
      </c>
      <c r="C317" s="175" t="s">
        <v>13</v>
      </c>
      <c r="D317" s="176" t="str">
        <f t="shared" si="76"/>
        <v>C</v>
      </c>
      <c r="E317" s="177" t="d">
        <v>2021-08-16T17:29:59.99999979045242400</v>
      </c>
      <c r="F317" s="178" t="s">
        <v>81</v>
      </c>
      <c r="G317" s="179">
        <v>14954.52</v>
      </c>
      <c r="H317" s="179">
        <v>14987.47</v>
      </c>
      <c r="I317" s="180">
        <f t="shared" si="77"/>
        <v>32.949999999998909</v>
      </c>
      <c r="J317" s="179">
        <v>14756.83</v>
      </c>
      <c r="K317" s="177" t="d">
        <v>2021-08-16T18:36:00.00000012572854425</v>
      </c>
      <c r="L317" s="179">
        <v>14987.47</v>
      </c>
      <c r="M317" s="181">
        <f t="shared" si="78"/>
        <v>-32.950000000000003</v>
      </c>
      <c r="N317" s="182">
        <f t="shared" si="79"/>
        <v>-1</v>
      </c>
      <c r="O317" s="183">
        <f t="shared" si="80"/>
        <v>0</v>
      </c>
      <c r="P317" s="184">
        <f t="shared" si="81"/>
        <v>0</v>
      </c>
      <c r="Q317" s="184">
        <f t="shared" si="82"/>
        <v>-1</v>
      </c>
      <c r="R31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44620</v>
      </c>
      <c r="T31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17" s="186">
        <f ca="1">IF(Tabla33610673[[#This Row],[Equity]]&lt;Tabla33610673[[#This Row],[Equity Peak]],(Tabla33610673[[#This Row],[Equity Peak]]-Tabla33610673[[#This Row],[Equity]])/Tabla33610673[[#This Row],[Equity Peak]],"")</f>
        <v>5.8600137138034705E-2</v>
      </c>
      <c r="V317" s="187">
        <f t="shared" si="83"/>
        <v>0</v>
      </c>
      <c r="W317" s="187">
        <f t="shared" si="84"/>
        <v>0</v>
      </c>
      <c r="X317" s="187">
        <f t="shared" si="85"/>
        <v>0</v>
      </c>
      <c r="Y317" s="187">
        <f t="shared" si="86"/>
        <v>0</v>
      </c>
      <c r="Z317" s="187">
        <f t="shared" si="87"/>
        <v>-1</v>
      </c>
      <c r="AA317" s="183">
        <f t="shared" si="88"/>
        <v>0</v>
      </c>
      <c r="AB317" s="187">
        <f t="shared" si="89"/>
        <v>0</v>
      </c>
      <c r="AC317" s="183">
        <f t="shared" si="90"/>
        <v>0</v>
      </c>
      <c r="AD317" s="188">
        <f t="shared" si="91"/>
        <v>4.5833333337213844E-2</v>
      </c>
      <c r="AE317" s="188">
        <f t="shared" si="92"/>
        <v>0</v>
      </c>
      <c r="AF317" s="188">
        <f t="shared" si="93"/>
        <v>4.5833333337213844E-2</v>
      </c>
      <c r="AG317" s="188">
        <f t="shared" si="94"/>
        <v>0</v>
      </c>
    </row>
    <row r="318" spans="2:33" ht="15" customHeight="1" x14ac:dyDescent="0.15">
      <c r="B318" s="174" t="s">
        <v>5</v>
      </c>
      <c r="C318" s="175" t="s">
        <v>13</v>
      </c>
      <c r="D318" s="176" t="str">
        <f t="shared" si="76"/>
        <v>C</v>
      </c>
      <c r="E318" s="177" t="d">
        <v>2021-08-16T17:29:59.99999979045242400</v>
      </c>
      <c r="F318" s="178" t="s">
        <v>82</v>
      </c>
      <c r="G318" s="179">
        <v>4439.18</v>
      </c>
      <c r="H318" s="179">
        <v>4447.57</v>
      </c>
      <c r="I318" s="180">
        <f t="shared" si="77"/>
        <v>8.3899999999994179</v>
      </c>
      <c r="J318" s="179">
        <v>4384.62</v>
      </c>
      <c r="K318" s="177" t="d">
        <v>2021-08-16T18:33:59.999999734573066125</v>
      </c>
      <c r="L318" s="179">
        <v>4447.57</v>
      </c>
      <c r="M318" s="181">
        <f t="shared" si="78"/>
        <v>-8.39</v>
      </c>
      <c r="N318" s="182">
        <f t="shared" si="79"/>
        <v>-1</v>
      </c>
      <c r="O318" s="183">
        <f t="shared" si="80"/>
        <v>0</v>
      </c>
      <c r="P318" s="184">
        <f t="shared" si="81"/>
        <v>0</v>
      </c>
      <c r="Q318" s="184">
        <f t="shared" si="82"/>
        <v>-1</v>
      </c>
      <c r="R31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44870</v>
      </c>
      <c r="T31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18" s="186">
        <f ca="1">IF(Tabla33610673[[#This Row],[Equity]]&lt;Tabla33610673[[#This Row],[Equity Peak]],(Tabla33610673[[#This Row],[Equity Peak]]-Tabla33610673[[#This Row],[Equity]])/Tabla33610673[[#This Row],[Equity Peak]],"")</f>
        <v>5.332559734163194E-2</v>
      </c>
      <c r="V318" s="187">
        <f t="shared" si="83"/>
        <v>0</v>
      </c>
      <c r="W318" s="187">
        <f t="shared" si="84"/>
        <v>0</v>
      </c>
      <c r="X318" s="187">
        <f t="shared" si="85"/>
        <v>0</v>
      </c>
      <c r="Y318" s="187">
        <f t="shared" si="86"/>
        <v>0</v>
      </c>
      <c r="Z318" s="187">
        <f t="shared" si="87"/>
        <v>-1</v>
      </c>
      <c r="AA318" s="183">
        <f t="shared" si="88"/>
        <v>0</v>
      </c>
      <c r="AB318" s="187">
        <f t="shared" si="89"/>
        <v>0</v>
      </c>
      <c r="AC318" s="183">
        <f t="shared" si="90"/>
        <v>0</v>
      </c>
      <c r="AD318" s="188">
        <f t="shared" si="91"/>
        <v>4.4444444443797693E-2</v>
      </c>
      <c r="AE318" s="188">
        <f t="shared" si="92"/>
        <v>0</v>
      </c>
      <c r="AF318" s="188">
        <f t="shared" si="93"/>
        <v>4.4444444443797693E-2</v>
      </c>
      <c r="AG318" s="188">
        <f t="shared" si="94"/>
        <v>0</v>
      </c>
    </row>
    <row r="319" spans="2:33" ht="15" customHeight="1" x14ac:dyDescent="0.15">
      <c r="B319" s="174" t="s">
        <v>5</v>
      </c>
      <c r="C319" s="175" t="s">
        <v>15</v>
      </c>
      <c r="D319" s="176" t="str">
        <f t="shared" si="76"/>
        <v>C</v>
      </c>
      <c r="E319" s="177" t="d">
        <v>2021-08-13T17:00:00.00000020954757600</v>
      </c>
      <c r="F319" s="178" t="s">
        <v>81</v>
      </c>
      <c r="G319" s="179">
        <v>15105.64</v>
      </c>
      <c r="H319" s="179">
        <v>15069.9</v>
      </c>
      <c r="I319" s="180">
        <f t="shared" si="77"/>
        <v>35.739999999999782</v>
      </c>
      <c r="J319" s="179">
        <v>15320.06</v>
      </c>
      <c r="K319" s="177" t="d">
        <v>2021-08-16T13:18:59.999999734573066125</v>
      </c>
      <c r="L319" s="179">
        <v>15087.81</v>
      </c>
      <c r="M319" s="181">
        <f t="shared" si="78"/>
        <v>-17.829999999999998</v>
      </c>
      <c r="N319" s="182">
        <f t="shared" si="79"/>
        <v>-0.5</v>
      </c>
      <c r="O319" s="183">
        <f t="shared" si="80"/>
        <v>0</v>
      </c>
      <c r="P319" s="184">
        <f t="shared" si="81"/>
        <v>0</v>
      </c>
      <c r="Q319" s="184">
        <f t="shared" si="82"/>
        <v>-0.5</v>
      </c>
      <c r="R31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45120</v>
      </c>
      <c r="T31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19" s="186">
        <f ca="1">IF(Tabla33610673[[#This Row],[Equity]]&lt;Tabla33610673[[#This Row],[Equity Peak]],(Tabla33610673[[#This Row],[Equity Peak]]-Tabla33610673[[#This Row],[Equity]])/Tabla33610673[[#This Row],[Equity Peak]],"")</f>
        <v>4.8051057545229175E-2</v>
      </c>
      <c r="V319" s="187">
        <f t="shared" si="83"/>
        <v>0</v>
      </c>
      <c r="W319" s="187">
        <f t="shared" si="84"/>
        <v>0</v>
      </c>
      <c r="X319" s="187">
        <f t="shared" si="85"/>
        <v>0</v>
      </c>
      <c r="Y319" s="187">
        <f t="shared" si="86"/>
        <v>0</v>
      </c>
      <c r="Z319" s="187">
        <f t="shared" si="87"/>
        <v>-0.5</v>
      </c>
      <c r="AA319" s="183">
        <f t="shared" si="88"/>
        <v>0</v>
      </c>
      <c r="AB319" s="187">
        <f t="shared" si="89"/>
        <v>0</v>
      </c>
      <c r="AC319" s="183">
        <f t="shared" si="90"/>
        <v>0</v>
      </c>
      <c r="AD319" s="188">
        <f t="shared" si="91"/>
        <v>2.8465277777722804</v>
      </c>
      <c r="AE319" s="188">
        <f t="shared" si="92"/>
        <v>0</v>
      </c>
      <c r="AF319" s="188">
        <f t="shared" si="93"/>
        <v>2.8465277777722804</v>
      </c>
      <c r="AG319" s="188">
        <f t="shared" si="94"/>
        <v>0</v>
      </c>
    </row>
    <row r="320" spans="2:33" ht="15" customHeight="1" x14ac:dyDescent="0.15">
      <c r="B320" s="174" t="s">
        <v>5</v>
      </c>
      <c r="C320" s="175" t="s">
        <v>15</v>
      </c>
      <c r="D320" s="176" t="str">
        <f t="shared" si="76"/>
        <v>C</v>
      </c>
      <c r="E320" s="177" t="d">
        <v>2021-08-12T19:15:00.00000020954757600</v>
      </c>
      <c r="F320" s="178" t="s">
        <v>82</v>
      </c>
      <c r="G320" s="179">
        <v>4452.2299999999996</v>
      </c>
      <c r="H320" s="179">
        <v>4443.28</v>
      </c>
      <c r="I320" s="180">
        <f t="shared" si="77"/>
        <v>8.9499999999998181</v>
      </c>
      <c r="J320" s="179">
        <v>4510.3999999999996</v>
      </c>
      <c r="K320" s="177" t="d">
        <v>2021-08-16T03:08:59.99999987427145575</v>
      </c>
      <c r="L320" s="179">
        <v>4459.8100000000004</v>
      </c>
      <c r="M320" s="181">
        <f t="shared" si="78"/>
        <v>7.58</v>
      </c>
      <c r="N320" s="182">
        <f t="shared" si="79"/>
        <v>0.85</v>
      </c>
      <c r="O320" s="183">
        <f t="shared" si="80"/>
        <v>0</v>
      </c>
      <c r="P320" s="184">
        <f t="shared" si="81"/>
        <v>0.85</v>
      </c>
      <c r="Q320" s="184">
        <f t="shared" si="82"/>
        <v>0</v>
      </c>
      <c r="R32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45245</v>
      </c>
      <c r="T32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20" s="186">
        <f ca="1">IF(Tabla33610673[[#This Row],[Equity]]&lt;Tabla33610673[[#This Row],[Equity Peak]],(Tabla33610673[[#This Row],[Equity Peak]]-Tabla33610673[[#This Row],[Equity]])/Tabla33610673[[#This Row],[Equity Peak]],"")</f>
        <v>4.5413787647027797E-2</v>
      </c>
      <c r="V320" s="187">
        <f t="shared" si="83"/>
        <v>0</v>
      </c>
      <c r="W320" s="187">
        <f t="shared" si="84"/>
        <v>0</v>
      </c>
      <c r="X320" s="187">
        <f t="shared" si="85"/>
        <v>0</v>
      </c>
      <c r="Y320" s="187">
        <f t="shared" si="86"/>
        <v>0</v>
      </c>
      <c r="Z320" s="187">
        <f t="shared" si="87"/>
        <v>0.85</v>
      </c>
      <c r="AA320" s="183">
        <f t="shared" si="88"/>
        <v>0</v>
      </c>
      <c r="AB320" s="187">
        <f t="shared" si="89"/>
        <v>0</v>
      </c>
      <c r="AC320" s="183">
        <f t="shared" si="90"/>
        <v>0</v>
      </c>
      <c r="AD320" s="188">
        <f t="shared" si="91"/>
        <v>3.3291666666627862</v>
      </c>
      <c r="AE320" s="188">
        <f t="shared" si="92"/>
        <v>3.3291666666627862</v>
      </c>
      <c r="AF320" s="188">
        <f t="shared" si="93"/>
        <v>0</v>
      </c>
      <c r="AG320" s="188">
        <f t="shared" si="94"/>
        <v>0</v>
      </c>
    </row>
    <row r="321" spans="2:33" ht="15" customHeight="1" x14ac:dyDescent="0.15">
      <c r="B321" s="174" t="s">
        <v>5</v>
      </c>
      <c r="C321" s="175" t="s">
        <v>15</v>
      </c>
      <c r="D321" s="176" t="str">
        <f t="shared" si="76"/>
        <v>C</v>
      </c>
      <c r="E321" s="177" t="d">
        <v>2021-08-12T15:45:00.000</v>
      </c>
      <c r="F321" s="178" t="s">
        <v>80</v>
      </c>
      <c r="G321" s="179">
        <v>15917.7</v>
      </c>
      <c r="H321" s="179">
        <v>15883.93</v>
      </c>
      <c r="I321" s="180">
        <f t="shared" si="77"/>
        <v>33.770000000000437</v>
      </c>
      <c r="J321" s="179">
        <v>16165.36</v>
      </c>
      <c r="K321" s="177" t="d">
        <v>2021-08-13T17:26:59.99999983236193650</v>
      </c>
      <c r="L321" s="179">
        <v>15966.98</v>
      </c>
      <c r="M321" s="181">
        <f t="shared" si="78"/>
        <v>49.28</v>
      </c>
      <c r="N321" s="182">
        <f t="shared" si="79"/>
        <v>1.46</v>
      </c>
      <c r="O321" s="183">
        <f t="shared" si="80"/>
        <v>0</v>
      </c>
      <c r="P321" s="184">
        <f t="shared" si="81"/>
        <v>1.46</v>
      </c>
      <c r="Q321" s="184">
        <f t="shared" si="82"/>
        <v>0</v>
      </c>
      <c r="R32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45032.5</v>
      </c>
      <c r="T32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21" s="186">
        <f ca="1">IF(Tabla33610673[[#This Row],[Equity]]&lt;Tabla33610673[[#This Row],[Equity Peak]],(Tabla33610673[[#This Row],[Equity Peak]]-Tabla33610673[[#This Row],[Equity]])/Tabla33610673[[#This Row],[Equity Peak]],"")</f>
        <v>4.9897146473970144E-2</v>
      </c>
      <c r="V321" s="187">
        <f t="shared" si="83"/>
        <v>0</v>
      </c>
      <c r="W321" s="187">
        <f t="shared" si="84"/>
        <v>0</v>
      </c>
      <c r="X321" s="187">
        <f t="shared" si="85"/>
        <v>0</v>
      </c>
      <c r="Y321" s="187">
        <f t="shared" si="86"/>
        <v>0</v>
      </c>
      <c r="Z321" s="187">
        <f t="shared" si="87"/>
        <v>1.46</v>
      </c>
      <c r="AA321" s="183">
        <f t="shared" si="88"/>
        <v>0</v>
      </c>
      <c r="AB321" s="187">
        <f t="shared" si="89"/>
        <v>0</v>
      </c>
      <c r="AC321" s="183">
        <f t="shared" si="90"/>
        <v>0</v>
      </c>
      <c r="AD321" s="188">
        <f t="shared" si="91"/>
        <v>1.0708333333313931</v>
      </c>
      <c r="AE321" s="188">
        <f t="shared" si="92"/>
        <v>1.0708333333313931</v>
      </c>
      <c r="AF321" s="188">
        <f t="shared" si="93"/>
        <v>0</v>
      </c>
      <c r="AG321" s="188">
        <f t="shared" si="94"/>
        <v>0</v>
      </c>
    </row>
    <row r="322" spans="2:33" ht="15" customHeight="1" x14ac:dyDescent="0.15">
      <c r="B322" s="174" t="s">
        <v>5</v>
      </c>
      <c r="C322" s="175" t="s">
        <v>15</v>
      </c>
      <c r="D322" s="176" t="str">
        <f t="shared" si="76"/>
        <v>C</v>
      </c>
      <c r="E322" s="177" t="d">
        <v>2021-08-13T11:00:00.00000020954757600</v>
      </c>
      <c r="F322" s="178" t="s">
        <v>81</v>
      </c>
      <c r="G322" s="179">
        <v>15098.46</v>
      </c>
      <c r="H322" s="179">
        <v>15062.03</v>
      </c>
      <c r="I322" s="180">
        <f t="shared" si="77"/>
        <v>36.429999999998472</v>
      </c>
      <c r="J322" s="179">
        <v>15317.04</v>
      </c>
      <c r="K322" s="177" t="d">
        <v>2021-08-13T15:01:00.00000019557774075</v>
      </c>
      <c r="L322" s="179">
        <v>15062.03</v>
      </c>
      <c r="M322" s="181">
        <f t="shared" si="78"/>
        <v>-36.43</v>
      </c>
      <c r="N322" s="182">
        <f t="shared" si="79"/>
        <v>-1</v>
      </c>
      <c r="O322" s="183">
        <f t="shared" si="80"/>
        <v>0</v>
      </c>
      <c r="P322" s="184">
        <f t="shared" si="81"/>
        <v>0</v>
      </c>
      <c r="Q322" s="184">
        <f t="shared" si="82"/>
        <v>-1</v>
      </c>
      <c r="R32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44667.5</v>
      </c>
      <c r="T32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22" s="186">
        <f ca="1">IF(Tabla33610673[[#This Row],[Equity]]&lt;Tabla33610673[[#This Row],[Equity Peak]],(Tabla33610673[[#This Row],[Equity Peak]]-Tabla33610673[[#This Row],[Equity]])/Tabla33610673[[#This Row],[Equity Peak]],"")</f>
        <v>5.7597974576718183E-2</v>
      </c>
      <c r="V322" s="187">
        <f t="shared" si="83"/>
        <v>0</v>
      </c>
      <c r="W322" s="187">
        <f t="shared" si="84"/>
        <v>0</v>
      </c>
      <c r="X322" s="187">
        <f t="shared" si="85"/>
        <v>0</v>
      </c>
      <c r="Y322" s="187">
        <f t="shared" si="86"/>
        <v>0</v>
      </c>
      <c r="Z322" s="187">
        <f t="shared" si="87"/>
        <v>-1</v>
      </c>
      <c r="AA322" s="183">
        <f t="shared" si="88"/>
        <v>0</v>
      </c>
      <c r="AB322" s="187">
        <f t="shared" si="89"/>
        <v>0</v>
      </c>
      <c r="AC322" s="183">
        <f t="shared" si="90"/>
        <v>0</v>
      </c>
      <c r="AD322" s="188">
        <f t="shared" si="91"/>
        <v>0.16736111111094942</v>
      </c>
      <c r="AE322" s="188">
        <f t="shared" si="92"/>
        <v>0</v>
      </c>
      <c r="AF322" s="188">
        <f t="shared" si="93"/>
        <v>0.16736111111094942</v>
      </c>
      <c r="AG322" s="188">
        <f t="shared" si="94"/>
        <v>0</v>
      </c>
    </row>
    <row r="323" spans="2:33" ht="15" customHeight="1" x14ac:dyDescent="0.15">
      <c r="B323" s="174" t="s">
        <v>7</v>
      </c>
      <c r="C323" s="175" t="s">
        <v>13</v>
      </c>
      <c r="D323" s="176" t="str">
        <f t="shared" si="76"/>
        <v>C</v>
      </c>
      <c r="E323" s="177" t="d">
        <v>2021-08-12T18:14:59.99999979045242400</v>
      </c>
      <c r="F323" s="178" t="s">
        <v>102</v>
      </c>
      <c r="G323" s="179">
        <v>152.57499999999999</v>
      </c>
      <c r="H323" s="179">
        <v>152.79400000000001</v>
      </c>
      <c r="I323" s="180">
        <f t="shared" si="77"/>
        <v>0.21900000000002251</v>
      </c>
      <c r="J323" s="179">
        <v>151.405</v>
      </c>
      <c r="K323" s="177" t="d">
        <v>2021-08-13T00:52:00.00000011175870900</v>
      </c>
      <c r="L323" s="179">
        <v>152.57</v>
      </c>
      <c r="M323" s="181">
        <f t="shared" si="78"/>
        <v>5.0000000000000001E-3</v>
      </c>
      <c r="N323" s="182">
        <f t="shared" si="79"/>
        <v>0.02</v>
      </c>
      <c r="O323" s="183">
        <f t="shared" si="80"/>
        <v>0</v>
      </c>
      <c r="P323" s="184">
        <f t="shared" si="81"/>
        <v>0.02</v>
      </c>
      <c r="Q323" s="184">
        <f t="shared" si="82"/>
        <v>0</v>
      </c>
      <c r="R32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44917.5</v>
      </c>
      <c r="T32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23" s="186">
        <f ca="1">IF(Tabla33610673[[#This Row],[Equity]]&lt;Tabla33610673[[#This Row],[Equity Peak]],(Tabla33610673[[#This Row],[Equity Peak]]-Tabla33610673[[#This Row],[Equity]])/Tabla33610673[[#This Row],[Equity Peak]],"")</f>
        <v>5.2323434780315418E-2</v>
      </c>
      <c r="V323" s="187">
        <f t="shared" si="83"/>
        <v>0.02</v>
      </c>
      <c r="W323" s="187">
        <f t="shared" si="84"/>
        <v>0</v>
      </c>
      <c r="X323" s="187">
        <f t="shared" si="85"/>
        <v>0</v>
      </c>
      <c r="Y323" s="187">
        <f t="shared" si="86"/>
        <v>0</v>
      </c>
      <c r="Z323" s="187">
        <f t="shared" si="87"/>
        <v>0</v>
      </c>
      <c r="AA323" s="183">
        <f t="shared" si="88"/>
        <v>0</v>
      </c>
      <c r="AB323" s="187">
        <f t="shared" si="89"/>
        <v>0</v>
      </c>
      <c r="AC323" s="183">
        <f t="shared" si="90"/>
        <v>0</v>
      </c>
      <c r="AD323" s="188">
        <f t="shared" si="91"/>
        <v>0.27569444444816327</v>
      </c>
      <c r="AE323" s="188">
        <f t="shared" si="92"/>
        <v>0.27569444444816327</v>
      </c>
      <c r="AF323" s="188">
        <f t="shared" si="93"/>
        <v>0</v>
      </c>
      <c r="AG323" s="188">
        <f t="shared" si="94"/>
        <v>0</v>
      </c>
    </row>
    <row r="324" spans="2:33" ht="15" customHeight="1" x14ac:dyDescent="0.15">
      <c r="B324" s="174" t="s">
        <v>5</v>
      </c>
      <c r="C324" s="175" t="s">
        <v>15</v>
      </c>
      <c r="D324" s="176" t="str">
        <f t="shared" si="76"/>
        <v>C</v>
      </c>
      <c r="E324" s="177" t="d">
        <v>2021-08-12T13:44:59.99999979045242400</v>
      </c>
      <c r="F324" s="178" t="s">
        <v>82</v>
      </c>
      <c r="G324" s="179">
        <v>4448.79</v>
      </c>
      <c r="H324" s="179">
        <v>4440.1899999999996</v>
      </c>
      <c r="I324" s="180">
        <f t="shared" si="77"/>
        <v>8.6000000000003638</v>
      </c>
      <c r="J324" s="179">
        <v>4504.71</v>
      </c>
      <c r="K324" s="177" t="d">
        <v>2021-08-12T16:37:00.00000011175870900</v>
      </c>
      <c r="L324" s="179">
        <v>4440.1899999999996</v>
      </c>
      <c r="M324" s="181">
        <f t="shared" si="78"/>
        <v>-8.6</v>
      </c>
      <c r="N324" s="182">
        <f t="shared" si="79"/>
        <v>-1</v>
      </c>
      <c r="O324" s="183">
        <f t="shared" si="80"/>
        <v>0</v>
      </c>
      <c r="P324" s="184">
        <f t="shared" si="81"/>
        <v>0</v>
      </c>
      <c r="Q324" s="184">
        <f t="shared" si="82"/>
        <v>-1</v>
      </c>
      <c r="R32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44912.5</v>
      </c>
      <c r="T32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24" s="186">
        <f ca="1">IF(Tabla33610673[[#This Row],[Equity]]&lt;Tabla33610673[[#This Row],[Equity Peak]],(Tabla33610673[[#This Row],[Equity Peak]]-Tabla33610673[[#This Row],[Equity]])/Tabla33610673[[#This Row],[Equity Peak]],"")</f>
        <v>5.2428925576243471E-2</v>
      </c>
      <c r="V324" s="187">
        <f t="shared" si="83"/>
        <v>0</v>
      </c>
      <c r="W324" s="187">
        <f t="shared" si="84"/>
        <v>0</v>
      </c>
      <c r="X324" s="187">
        <f t="shared" si="85"/>
        <v>0</v>
      </c>
      <c r="Y324" s="187">
        <f t="shared" si="86"/>
        <v>0</v>
      </c>
      <c r="Z324" s="187">
        <f t="shared" si="87"/>
        <v>-1</v>
      </c>
      <c r="AA324" s="183">
        <f t="shared" si="88"/>
        <v>0</v>
      </c>
      <c r="AB324" s="187">
        <f t="shared" si="89"/>
        <v>0</v>
      </c>
      <c r="AC324" s="183">
        <f t="shared" si="90"/>
        <v>0</v>
      </c>
      <c r="AD324" s="188">
        <f t="shared" si="91"/>
        <v>0.11944444444816327</v>
      </c>
      <c r="AE324" s="188">
        <f t="shared" si="92"/>
        <v>0</v>
      </c>
      <c r="AF324" s="188">
        <f t="shared" si="93"/>
        <v>0.11944444444816327</v>
      </c>
      <c r="AG324" s="188">
        <f t="shared" si="94"/>
        <v>0</v>
      </c>
    </row>
    <row r="325" spans="2:33" ht="15" customHeight="1" x14ac:dyDescent="0.15">
      <c r="B325" s="174" t="s">
        <v>19</v>
      </c>
      <c r="C325" s="175" t="s">
        <v>15</v>
      </c>
      <c r="D325" s="176" t="str">
        <f t="shared" si="76"/>
        <v>C</v>
      </c>
      <c r="E325" s="177" t="d">
        <v>2021-08-11T06:14:59.99999979045242400</v>
      </c>
      <c r="F325" s="178" t="s">
        <v>77</v>
      </c>
      <c r="G325" s="179">
        <v>1734.43</v>
      </c>
      <c r="H325" s="179">
        <v>1728.37</v>
      </c>
      <c r="I325" s="180">
        <f t="shared" si="77"/>
        <v>6.0600000000001728</v>
      </c>
      <c r="J325" s="179">
        <v>1763.51</v>
      </c>
      <c r="K325" s="177" t="d">
        <v>2021-08-12T14:09:00.00000008381903175</v>
      </c>
      <c r="L325" s="179">
        <v>1750.48</v>
      </c>
      <c r="M325" s="181">
        <f t="shared" si="78"/>
        <v>16.05</v>
      </c>
      <c r="N325" s="182">
        <f t="shared" si="79"/>
        <v>2.65</v>
      </c>
      <c r="O325" s="183">
        <f t="shared" si="80"/>
        <v>0</v>
      </c>
      <c r="P325" s="184">
        <f t="shared" si="81"/>
        <v>2.65</v>
      </c>
      <c r="Q325" s="184">
        <f t="shared" si="82"/>
        <v>0</v>
      </c>
      <c r="R32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45162.5</v>
      </c>
      <c r="T32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25" s="186">
        <f ca="1">IF(Tabla33610673[[#This Row],[Equity]]&lt;Tabla33610673[[#This Row],[Equity Peak]],(Tabla33610673[[#This Row],[Equity Peak]]-Tabla33610673[[#This Row],[Equity]])/Tabla33610673[[#This Row],[Equity Peak]],"")</f>
        <v>4.7154385779840706E-2</v>
      </c>
      <c r="V325" s="187">
        <f t="shared" si="83"/>
        <v>0</v>
      </c>
      <c r="W325" s="187">
        <f t="shared" si="84"/>
        <v>0</v>
      </c>
      <c r="X325" s="187">
        <f t="shared" si="85"/>
        <v>2.65</v>
      </c>
      <c r="Y325" s="187">
        <f t="shared" si="86"/>
        <v>0</v>
      </c>
      <c r="Z325" s="187">
        <f t="shared" si="87"/>
        <v>0</v>
      </c>
      <c r="AA325" s="183">
        <f t="shared" si="88"/>
        <v>0</v>
      </c>
      <c r="AB325" s="187">
        <f t="shared" si="89"/>
        <v>0</v>
      </c>
      <c r="AC325" s="183">
        <f t="shared" si="90"/>
        <v>0</v>
      </c>
      <c r="AD325" s="188">
        <f t="shared" si="91"/>
        <v>1.3291666666700621</v>
      </c>
      <c r="AE325" s="188">
        <f t="shared" si="92"/>
        <v>1.3291666666700621</v>
      </c>
      <c r="AF325" s="188">
        <f t="shared" si="93"/>
        <v>0</v>
      </c>
      <c r="AG325" s="188">
        <f t="shared" si="94"/>
        <v>0</v>
      </c>
    </row>
    <row r="326" spans="2:33" ht="15" customHeight="1" x14ac:dyDescent="0.15">
      <c r="B326" s="174" t="s">
        <v>5</v>
      </c>
      <c r="C326" s="175" t="s">
        <v>15</v>
      </c>
      <c r="D326" s="176" t="str">
        <f t="shared" si="76"/>
        <v>C</v>
      </c>
      <c r="E326" s="177" t="d">
        <v>2021-08-11T15:45:00.000</v>
      </c>
      <c r="F326" s="178" t="s">
        <v>82</v>
      </c>
      <c r="G326" s="179">
        <v>4444.3900000000003</v>
      </c>
      <c r="H326" s="179">
        <v>4435.33</v>
      </c>
      <c r="I326" s="180">
        <f t="shared" si="77"/>
        <v>9.0600000000004002</v>
      </c>
      <c r="J326" s="179">
        <v>4503.28</v>
      </c>
      <c r="K326" s="177" t="d">
        <v>2021-08-11T18:08:59.99999987427145575</v>
      </c>
      <c r="L326" s="179">
        <v>4439.1499999999996</v>
      </c>
      <c r="M326" s="181">
        <f t="shared" si="78"/>
        <v>-5.24</v>
      </c>
      <c r="N326" s="182">
        <f t="shared" si="79"/>
        <v>-0.57999999999999996</v>
      </c>
      <c r="O326" s="183">
        <f t="shared" si="80"/>
        <v>0</v>
      </c>
      <c r="P326" s="184">
        <f t="shared" si="81"/>
        <v>0</v>
      </c>
      <c r="Q326" s="184">
        <f t="shared" si="82"/>
        <v>-0.57999999999999996</v>
      </c>
      <c r="R32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44500</v>
      </c>
      <c r="T32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26" s="186">
        <f ca="1">IF(Tabla33610673[[#This Row],[Equity]]&lt;Tabla33610673[[#This Row],[Equity Peak]],(Tabla33610673[[#This Row],[Equity Peak]]-Tabla33610673[[#This Row],[Equity]])/Tabla33610673[[#This Row],[Equity Peak]],"")</f>
        <v>6.1131916240308032E-2</v>
      </c>
      <c r="V326" s="187">
        <f t="shared" si="83"/>
        <v>0</v>
      </c>
      <c r="W326" s="187">
        <f t="shared" si="84"/>
        <v>0</v>
      </c>
      <c r="X326" s="187">
        <f t="shared" si="85"/>
        <v>0</v>
      </c>
      <c r="Y326" s="187">
        <f t="shared" si="86"/>
        <v>0</v>
      </c>
      <c r="Z326" s="187">
        <f t="shared" si="87"/>
        <v>-0.57999999999999996</v>
      </c>
      <c r="AA326" s="183">
        <f t="shared" si="88"/>
        <v>0</v>
      </c>
      <c r="AB326" s="187">
        <f t="shared" si="89"/>
        <v>0</v>
      </c>
      <c r="AC326" s="183">
        <f t="shared" si="90"/>
        <v>0</v>
      </c>
      <c r="AD326" s="188">
        <f t="shared" si="91"/>
        <v>9.9999999998544808E-2</v>
      </c>
      <c r="AE326" s="188">
        <f t="shared" si="92"/>
        <v>0</v>
      </c>
      <c r="AF326" s="188">
        <f t="shared" si="93"/>
        <v>9.9999999998544808E-2</v>
      </c>
      <c r="AG326" s="188">
        <f t="shared" si="94"/>
        <v>0</v>
      </c>
    </row>
    <row r="327" spans="2:33" ht="15" customHeight="1" x14ac:dyDescent="0.15">
      <c r="B327" s="174" t="s">
        <v>5</v>
      </c>
      <c r="C327" s="175" t="s">
        <v>15</v>
      </c>
      <c r="D327" s="176" t="str">
        <f t="shared" si="76"/>
        <v>C</v>
      </c>
      <c r="E327" s="177" t="d">
        <v>2021-08-11T16:15:00.00000020954757600</v>
      </c>
      <c r="F327" s="178" t="s">
        <v>80</v>
      </c>
      <c r="G327" s="179">
        <v>15874.34</v>
      </c>
      <c r="H327" s="179">
        <v>15841.74</v>
      </c>
      <c r="I327" s="180">
        <f t="shared" si="77"/>
        <v>32.600000000000364</v>
      </c>
      <c r="J327" s="179">
        <v>16113.43</v>
      </c>
      <c r="K327" s="177" t="d">
        <v>2021-08-11T16:31:59.99999976251274675</v>
      </c>
      <c r="L327" s="179">
        <v>15841.74</v>
      </c>
      <c r="M327" s="181">
        <f t="shared" si="78"/>
        <v>-32.6</v>
      </c>
      <c r="N327" s="182">
        <f t="shared" si="79"/>
        <v>-1</v>
      </c>
      <c r="O327" s="183">
        <f t="shared" si="80"/>
        <v>0</v>
      </c>
      <c r="P327" s="184">
        <f t="shared" si="81"/>
        <v>0</v>
      </c>
      <c r="Q327" s="184">
        <f t="shared" si="82"/>
        <v>-1</v>
      </c>
      <c r="R32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44645</v>
      </c>
      <c r="T32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27" s="186">
        <f ca="1">IF(Tabla33610673[[#This Row],[Equity]]&lt;Tabla33610673[[#This Row],[Equity Peak]],(Tabla33610673[[#This Row],[Equity Peak]]-Tabla33610673[[#This Row],[Equity]])/Tabla33610673[[#This Row],[Equity Peak]],"")</f>
        <v>5.8072683158394429E-2</v>
      </c>
      <c r="V327" s="187">
        <f t="shared" si="83"/>
        <v>0</v>
      </c>
      <c r="W327" s="187">
        <f t="shared" si="84"/>
        <v>0</v>
      </c>
      <c r="X327" s="187">
        <f t="shared" si="85"/>
        <v>0</v>
      </c>
      <c r="Y327" s="187">
        <f t="shared" si="86"/>
        <v>0</v>
      </c>
      <c r="Z327" s="187">
        <f t="shared" si="87"/>
        <v>-1</v>
      </c>
      <c r="AA327" s="183">
        <f t="shared" si="88"/>
        <v>0</v>
      </c>
      <c r="AB327" s="187">
        <f t="shared" si="89"/>
        <v>0</v>
      </c>
      <c r="AC327" s="183">
        <f t="shared" si="90"/>
        <v>0</v>
      </c>
      <c r="AD327" s="188">
        <f t="shared" si="91"/>
        <v>1.1805555550381541E-2</v>
      </c>
      <c r="AE327" s="188">
        <f t="shared" si="92"/>
        <v>0</v>
      </c>
      <c r="AF327" s="188">
        <f t="shared" si="93"/>
        <v>1.1805555550381541E-2</v>
      </c>
      <c r="AG327" s="188">
        <f t="shared" si="94"/>
        <v>0</v>
      </c>
    </row>
    <row r="328" spans="2:33" ht="15" customHeight="1" x14ac:dyDescent="0.15">
      <c r="B328" s="174" t="s">
        <v>7</v>
      </c>
      <c r="C328" s="175" t="s">
        <v>15</v>
      </c>
      <c r="D328" s="176" t="str">
        <f t="shared" si="76"/>
        <v>C</v>
      </c>
      <c r="E328" s="177" t="d">
        <v>2021-08-11T03:14:59.99999979045242400</v>
      </c>
      <c r="F328" s="178" t="s">
        <v>103</v>
      </c>
      <c r="G328" s="179">
        <v>110.63200000000001</v>
      </c>
      <c r="H328" s="179">
        <v>110.47799999999999</v>
      </c>
      <c r="I328" s="180">
        <f t="shared" si="77"/>
        <v>0.15400000000001057</v>
      </c>
      <c r="J328" s="179">
        <v>111.6</v>
      </c>
      <c r="K328" s="177" t="d">
        <v>2021-08-11T15:30:00.00000020954757600</v>
      </c>
      <c r="L328" s="179">
        <v>110.621</v>
      </c>
      <c r="M328" s="181">
        <f t="shared" si="78"/>
        <v>-1.0999999999999999E-2</v>
      </c>
      <c r="N328" s="182">
        <f t="shared" si="79"/>
        <v>-7.0000000000000007E-2</v>
      </c>
      <c r="O328" s="183">
        <f t="shared" si="80"/>
        <v>0</v>
      </c>
      <c r="P328" s="184">
        <f t="shared" si="81"/>
        <v>0</v>
      </c>
      <c r="Q328" s="184">
        <f t="shared" si="82"/>
        <v>-7.0000000000000007E-2</v>
      </c>
      <c r="R32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44895</v>
      </c>
      <c r="T32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28" s="186">
        <f ca="1">IF(Tabla33610673[[#This Row],[Equity]]&lt;Tabla33610673[[#This Row],[Equity Peak]],(Tabla33610673[[#This Row],[Equity Peak]]-Tabla33610673[[#This Row],[Equity]])/Tabla33610673[[#This Row],[Equity Peak]],"")</f>
        <v>5.2798143361991665E-2</v>
      </c>
      <c r="V328" s="187">
        <f t="shared" si="83"/>
        <v>-7.0000000000000007E-2</v>
      </c>
      <c r="W328" s="187">
        <f t="shared" si="84"/>
        <v>0</v>
      </c>
      <c r="X328" s="187">
        <f t="shared" si="85"/>
        <v>0</v>
      </c>
      <c r="Y328" s="187">
        <f t="shared" si="86"/>
        <v>0</v>
      </c>
      <c r="Z328" s="187">
        <f t="shared" si="87"/>
        <v>0</v>
      </c>
      <c r="AA328" s="183">
        <f t="shared" si="88"/>
        <v>0</v>
      </c>
      <c r="AB328" s="187">
        <f t="shared" si="89"/>
        <v>0</v>
      </c>
      <c r="AC328" s="183">
        <f t="shared" si="90"/>
        <v>0</v>
      </c>
      <c r="AD328" s="188">
        <f t="shared" si="91"/>
        <v>0.51041666667151731</v>
      </c>
      <c r="AE328" s="188">
        <f t="shared" si="92"/>
        <v>0</v>
      </c>
      <c r="AF328" s="188">
        <f t="shared" si="93"/>
        <v>0.51041666667151731</v>
      </c>
      <c r="AG328" s="188">
        <f t="shared" si="94"/>
        <v>0</v>
      </c>
    </row>
    <row r="329" spans="2:33" ht="15" customHeight="1" x14ac:dyDescent="0.15">
      <c r="B329" s="174" t="s">
        <v>5</v>
      </c>
      <c r="C329" s="175" t="s">
        <v>15</v>
      </c>
      <c r="D329" s="176" t="str">
        <f t="shared" si="76"/>
        <v>C</v>
      </c>
      <c r="E329" s="177" t="d">
        <v>2021-08-10T16:15:00.00000020954757600</v>
      </c>
      <c r="F329" s="178" t="s">
        <v>82</v>
      </c>
      <c r="G329" s="179">
        <v>4435.2</v>
      </c>
      <c r="H329" s="179">
        <v>4425.75</v>
      </c>
      <c r="I329" s="180">
        <f t="shared" si="77"/>
        <v>9.4499999999998181</v>
      </c>
      <c r="J329" s="179">
        <v>4496.6499999999996</v>
      </c>
      <c r="K329" s="177" t="d">
        <v>2021-08-10T17:36:59.99999990221113300</v>
      </c>
      <c r="L329" s="179">
        <v>4433.47</v>
      </c>
      <c r="M329" s="181">
        <f t="shared" si="78"/>
        <v>-1.73</v>
      </c>
      <c r="N329" s="182">
        <f t="shared" si="79"/>
        <v>-0.18</v>
      </c>
      <c r="O329" s="183">
        <f t="shared" si="80"/>
        <v>0</v>
      </c>
      <c r="P329" s="184">
        <f t="shared" si="81"/>
        <v>0</v>
      </c>
      <c r="Q329" s="184">
        <f t="shared" si="82"/>
        <v>-0.18</v>
      </c>
      <c r="R32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44912.5</v>
      </c>
      <c r="T32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29" s="186">
        <f ca="1">IF(Tabla33610673[[#This Row],[Equity]]&lt;Tabla33610673[[#This Row],[Equity Peak]],(Tabla33610673[[#This Row],[Equity Peak]]-Tabla33610673[[#This Row],[Equity]])/Tabla33610673[[#This Row],[Equity Peak]],"")</f>
        <v>5.2428925576243471E-2</v>
      </c>
      <c r="V329" s="187">
        <f t="shared" si="83"/>
        <v>0</v>
      </c>
      <c r="W329" s="187">
        <f t="shared" si="84"/>
        <v>0</v>
      </c>
      <c r="X329" s="187">
        <f t="shared" si="85"/>
        <v>0</v>
      </c>
      <c r="Y329" s="187">
        <f t="shared" si="86"/>
        <v>0</v>
      </c>
      <c r="Z329" s="187">
        <f t="shared" si="87"/>
        <v>-0.18</v>
      </c>
      <c r="AA329" s="183">
        <f t="shared" si="88"/>
        <v>0</v>
      </c>
      <c r="AB329" s="187">
        <f t="shared" si="89"/>
        <v>0</v>
      </c>
      <c r="AC329" s="183">
        <f t="shared" si="90"/>
        <v>0</v>
      </c>
      <c r="AD329" s="188">
        <f t="shared" si="91"/>
        <v>5.694444444088731E-2</v>
      </c>
      <c r="AE329" s="188">
        <f t="shared" si="92"/>
        <v>0</v>
      </c>
      <c r="AF329" s="188">
        <f t="shared" si="93"/>
        <v>5.694444444088731E-2</v>
      </c>
      <c r="AG329" s="188">
        <f t="shared" si="94"/>
        <v>0</v>
      </c>
    </row>
    <row r="330" spans="2:33" ht="15" customHeight="1" x14ac:dyDescent="0.15">
      <c r="B330" s="174" t="s">
        <v>5</v>
      </c>
      <c r="C330" s="175" t="s">
        <v>15</v>
      </c>
      <c r="D330" s="176" t="str">
        <f t="shared" si="76"/>
        <v>C</v>
      </c>
      <c r="E330" s="177" t="d">
        <v>2021-08-09T16:30:00.000</v>
      </c>
      <c r="F330" s="178" t="s">
        <v>82</v>
      </c>
      <c r="G330" s="179">
        <v>4435.2700000000004</v>
      </c>
      <c r="H330" s="179">
        <v>4424.3500000000004</v>
      </c>
      <c r="I330" s="180">
        <f t="shared" si="77"/>
        <v>10.920000000000073</v>
      </c>
      <c r="J330" s="179">
        <v>4506.22</v>
      </c>
      <c r="K330" s="177" t="d">
        <v>2021-08-09T16:38:59.99999987427145575</v>
      </c>
      <c r="L330" s="179">
        <v>4424.3500000000004</v>
      </c>
      <c r="M330" s="181">
        <f t="shared" si="78"/>
        <v>-10.92</v>
      </c>
      <c r="N330" s="182">
        <f t="shared" si="79"/>
        <v>-1</v>
      </c>
      <c r="O330" s="183">
        <f t="shared" si="80"/>
        <v>0</v>
      </c>
      <c r="P330" s="184">
        <f t="shared" si="81"/>
        <v>0</v>
      </c>
      <c r="Q330" s="184">
        <f t="shared" si="82"/>
        <v>-1</v>
      </c>
      <c r="R33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44957.5</v>
      </c>
      <c r="T33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30" s="186">
        <f ca="1">IF(Tabla33610673[[#This Row],[Equity]]&lt;Tabla33610673[[#This Row],[Equity Peak]],(Tabla33610673[[#This Row],[Equity Peak]]-Tabla33610673[[#This Row],[Equity]])/Tabla33610673[[#This Row],[Equity Peak]],"")</f>
        <v>5.1479508412890979E-2</v>
      </c>
      <c r="V330" s="187">
        <f t="shared" si="83"/>
        <v>0</v>
      </c>
      <c r="W330" s="187">
        <f t="shared" si="84"/>
        <v>0</v>
      </c>
      <c r="X330" s="187">
        <f t="shared" si="85"/>
        <v>0</v>
      </c>
      <c r="Y330" s="187">
        <f t="shared" si="86"/>
        <v>0</v>
      </c>
      <c r="Z330" s="187">
        <f t="shared" si="87"/>
        <v>-1</v>
      </c>
      <c r="AA330" s="183">
        <f t="shared" si="88"/>
        <v>0</v>
      </c>
      <c r="AB330" s="187">
        <f t="shared" si="89"/>
        <v>0</v>
      </c>
      <c r="AC330" s="183">
        <f t="shared" si="90"/>
        <v>0</v>
      </c>
      <c r="AD330" s="188">
        <f t="shared" si="91"/>
        <v>6.2499999985448085E-3</v>
      </c>
      <c r="AE330" s="188">
        <f t="shared" si="92"/>
        <v>0</v>
      </c>
      <c r="AF330" s="188">
        <f t="shared" si="93"/>
        <v>6.2499999985448085E-3</v>
      </c>
      <c r="AG330" s="188">
        <f t="shared" si="94"/>
        <v>0</v>
      </c>
    </row>
    <row r="331" spans="2:33" ht="15" customHeight="1" x14ac:dyDescent="0.15">
      <c r="B331" s="174" t="s">
        <v>7</v>
      </c>
      <c r="C331" s="175" t="s">
        <v>15</v>
      </c>
      <c r="D331" s="176" t="str">
        <f t="shared" si="76"/>
        <v>C</v>
      </c>
      <c r="E331" s="177" t="d">
        <v>2021-08-05T17:15:00.000</v>
      </c>
      <c r="F331" s="178" t="s">
        <v>102</v>
      </c>
      <c r="G331" s="179">
        <v>152.93700000000001</v>
      </c>
      <c r="H331" s="179">
        <v>152.61099999999999</v>
      </c>
      <c r="I331" s="180">
        <f t="shared" si="77"/>
        <v>0.32600000000002183</v>
      </c>
      <c r="J331" s="179">
        <v>154.67500000000001</v>
      </c>
      <c r="K331" s="177" t="d">
        <v>2021-08-09T04:09:00.00000029336660775</v>
      </c>
      <c r="L331" s="179">
        <v>152.80099999999999</v>
      </c>
      <c r="M331" s="181">
        <f t="shared" si="78"/>
        <v>-0.13600000000000001</v>
      </c>
      <c r="N331" s="182">
        <f t="shared" si="79"/>
        <v>-0.42</v>
      </c>
      <c r="O331" s="183">
        <f t="shared" si="80"/>
        <v>0</v>
      </c>
      <c r="P331" s="184">
        <f t="shared" si="81"/>
        <v>0</v>
      </c>
      <c r="Q331" s="184">
        <f t="shared" si="82"/>
        <v>-0.42</v>
      </c>
      <c r="R33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45207.5</v>
      </c>
      <c r="T33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31" s="186">
        <f ca="1">IF(Tabla33610673[[#This Row],[Equity]]&lt;Tabla33610673[[#This Row],[Equity Peak]],(Tabla33610673[[#This Row],[Equity Peak]]-Tabla33610673[[#This Row],[Equity]])/Tabla33610673[[#This Row],[Equity Peak]],"")</f>
        <v>4.6204968616488214E-2</v>
      </c>
      <c r="V331" s="187">
        <f t="shared" si="83"/>
        <v>-0.42</v>
      </c>
      <c r="W331" s="187">
        <f t="shared" si="84"/>
        <v>0</v>
      </c>
      <c r="X331" s="187">
        <f t="shared" si="85"/>
        <v>0</v>
      </c>
      <c r="Y331" s="187">
        <f t="shared" si="86"/>
        <v>0</v>
      </c>
      <c r="Z331" s="187">
        <f t="shared" si="87"/>
        <v>0</v>
      </c>
      <c r="AA331" s="183">
        <f t="shared" si="88"/>
        <v>0</v>
      </c>
      <c r="AB331" s="187">
        <f t="shared" si="89"/>
        <v>0</v>
      </c>
      <c r="AC331" s="183">
        <f t="shared" si="90"/>
        <v>0</v>
      </c>
      <c r="AD331" s="188">
        <f t="shared" si="91"/>
        <v>3.4541666666700621</v>
      </c>
      <c r="AE331" s="188">
        <f t="shared" si="92"/>
        <v>0</v>
      </c>
      <c r="AF331" s="188">
        <f t="shared" si="93"/>
        <v>3.4541666666700621</v>
      </c>
      <c r="AG331" s="188">
        <f t="shared" si="94"/>
        <v>0</v>
      </c>
    </row>
    <row r="332" spans="2:33" ht="15" customHeight="1" x14ac:dyDescent="0.15">
      <c r="B332" s="174" t="s">
        <v>5</v>
      </c>
      <c r="C332" s="175" t="s">
        <v>15</v>
      </c>
      <c r="D332" s="176" t="str">
        <f t="shared" si="76"/>
        <v>C</v>
      </c>
      <c r="E332" s="177" t="d">
        <v>2021-08-05T16:44:59.99999979045242400</v>
      </c>
      <c r="F332" s="178" t="s">
        <v>80</v>
      </c>
      <c r="G332" s="179">
        <v>15743.71</v>
      </c>
      <c r="H332" s="179">
        <v>15702.6</v>
      </c>
      <c r="I332" s="180">
        <f t="shared" si="77"/>
        <v>41.109999999998763</v>
      </c>
      <c r="J332" s="179">
        <v>16045.18</v>
      </c>
      <c r="K332" s="177" t="d">
        <v>2021-08-09T03:14:59.99999979045242400</v>
      </c>
      <c r="L332" s="179">
        <v>15740.86</v>
      </c>
      <c r="M332" s="181">
        <f t="shared" si="78"/>
        <v>-2.85</v>
      </c>
      <c r="N332" s="182">
        <f t="shared" si="79"/>
        <v>-7.0000000000000007E-2</v>
      </c>
      <c r="O332" s="183">
        <f t="shared" si="80"/>
        <v>0</v>
      </c>
      <c r="P332" s="184">
        <f t="shared" si="81"/>
        <v>0</v>
      </c>
      <c r="Q332" s="184">
        <f t="shared" si="82"/>
        <v>-7.0000000000000007E-2</v>
      </c>
      <c r="R33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45312.5</v>
      </c>
      <c r="T33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32" s="186">
        <f ca="1">IF(Tabla33610673[[#This Row],[Equity]]&lt;Tabla33610673[[#This Row],[Equity Peak]],(Tabla33610673[[#This Row],[Equity Peak]]-Tabla33610673[[#This Row],[Equity]])/Tabla33610673[[#This Row],[Equity Peak]],"")</f>
        <v>4.3989661901999051E-2</v>
      </c>
      <c r="V332" s="187">
        <f t="shared" si="83"/>
        <v>0</v>
      </c>
      <c r="W332" s="187">
        <f t="shared" si="84"/>
        <v>0</v>
      </c>
      <c r="X332" s="187">
        <f t="shared" si="85"/>
        <v>0</v>
      </c>
      <c r="Y332" s="187">
        <f t="shared" si="86"/>
        <v>0</v>
      </c>
      <c r="Z332" s="187">
        <f t="shared" si="87"/>
        <v>-7.0000000000000007E-2</v>
      </c>
      <c r="AA332" s="183">
        <f t="shared" si="88"/>
        <v>0</v>
      </c>
      <c r="AB332" s="187">
        <f t="shared" si="89"/>
        <v>0</v>
      </c>
      <c r="AC332" s="183">
        <f t="shared" si="90"/>
        <v>0</v>
      </c>
      <c r="AD332" s="188">
        <f t="shared" si="91"/>
        <v>3.4375</v>
      </c>
      <c r="AE332" s="188">
        <f t="shared" si="92"/>
        <v>0</v>
      </c>
      <c r="AF332" s="188">
        <f t="shared" si="93"/>
        <v>3.4375</v>
      </c>
      <c r="AG332" s="188">
        <f t="shared" si="94"/>
        <v>0</v>
      </c>
    </row>
    <row r="333" spans="2:33" ht="15" customHeight="1" x14ac:dyDescent="0.15">
      <c r="B333" s="174" t="s">
        <v>5</v>
      </c>
      <c r="C333" s="175" t="s">
        <v>15</v>
      </c>
      <c r="D333" s="176" t="str">
        <f t="shared" si="76"/>
        <v>C</v>
      </c>
      <c r="E333" s="177" t="d">
        <v>2021-08-05T12:59:59.99999979045242400</v>
      </c>
      <c r="F333" s="178" t="s">
        <v>82</v>
      </c>
      <c r="G333" s="179">
        <v>4415.16</v>
      </c>
      <c r="H333" s="179">
        <v>4401.2299999999996</v>
      </c>
      <c r="I333" s="180">
        <f t="shared" si="77"/>
        <v>13.930000000000291</v>
      </c>
      <c r="J333" s="179">
        <v>4505.71</v>
      </c>
      <c r="K333" s="177" t="d">
        <v>2021-08-09T02:06:59.99999969266355025</v>
      </c>
      <c r="L333" s="179">
        <v>4426.25</v>
      </c>
      <c r="M333" s="181">
        <f t="shared" si="78"/>
        <v>11.09</v>
      </c>
      <c r="N333" s="182">
        <f t="shared" si="79"/>
        <v>0.8</v>
      </c>
      <c r="O333" s="183">
        <f t="shared" si="80"/>
        <v>0</v>
      </c>
      <c r="P333" s="184">
        <f t="shared" si="81"/>
        <v>0.8</v>
      </c>
      <c r="Q333" s="184">
        <f t="shared" si="82"/>
        <v>0</v>
      </c>
      <c r="R33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45330</v>
      </c>
      <c r="T33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33" s="186">
        <f ca="1">IF(Tabla33610673[[#This Row],[Equity]]&lt;Tabla33610673[[#This Row],[Equity Peak]],(Tabla33610673[[#This Row],[Equity Peak]]-Tabla33610673[[#This Row],[Equity]])/Tabla33610673[[#This Row],[Equity Peak]],"")</f>
        <v>4.3620444116250857E-2</v>
      </c>
      <c r="V333" s="187">
        <f t="shared" si="83"/>
        <v>0</v>
      </c>
      <c r="W333" s="187">
        <f t="shared" si="84"/>
        <v>0</v>
      </c>
      <c r="X333" s="187">
        <f t="shared" si="85"/>
        <v>0</v>
      </c>
      <c r="Y333" s="187">
        <f t="shared" si="86"/>
        <v>0</v>
      </c>
      <c r="Z333" s="187">
        <f t="shared" si="87"/>
        <v>0.8</v>
      </c>
      <c r="AA333" s="183">
        <f t="shared" si="88"/>
        <v>0</v>
      </c>
      <c r="AB333" s="187">
        <f t="shared" si="89"/>
        <v>0</v>
      </c>
      <c r="AC333" s="183">
        <f t="shared" si="90"/>
        <v>0</v>
      </c>
      <c r="AD333" s="188">
        <f t="shared" si="91"/>
        <v>3.546527777776646</v>
      </c>
      <c r="AE333" s="188">
        <f t="shared" si="92"/>
        <v>3.546527777776646</v>
      </c>
      <c r="AF333" s="188">
        <f t="shared" si="93"/>
        <v>0</v>
      </c>
      <c r="AG333" s="188">
        <f t="shared" si="94"/>
        <v>0</v>
      </c>
    </row>
    <row r="334" spans="2:33" ht="15" customHeight="1" x14ac:dyDescent="0.15">
      <c r="B334" s="174" t="s">
        <v>5</v>
      </c>
      <c r="C334" s="175" t="s">
        <v>15</v>
      </c>
      <c r="D334" s="176" t="str">
        <f t="shared" si="76"/>
        <v>C</v>
      </c>
      <c r="E334" s="177" t="d">
        <v>2021-08-04T20:15:00.000</v>
      </c>
      <c r="F334" s="178" t="s">
        <v>81</v>
      </c>
      <c r="G334" s="179">
        <v>15100.04</v>
      </c>
      <c r="H334" s="179">
        <v>15052.98</v>
      </c>
      <c r="I334" s="180">
        <f t="shared" si="77"/>
        <v>47.06000000000131</v>
      </c>
      <c r="J334" s="179">
        <v>15382.41</v>
      </c>
      <c r="K334" s="177" t="d">
        <v>2021-08-06T15:33:59.999999734573066125</v>
      </c>
      <c r="L334" s="179">
        <v>15145.43</v>
      </c>
      <c r="M334" s="181">
        <f t="shared" si="78"/>
        <v>45.39</v>
      </c>
      <c r="N334" s="182">
        <f t="shared" si="79"/>
        <v>0.96</v>
      </c>
      <c r="O334" s="183">
        <f t="shared" si="80"/>
        <v>0</v>
      </c>
      <c r="P334" s="184">
        <f t="shared" si="81"/>
        <v>0.96</v>
      </c>
      <c r="Q334" s="184">
        <f t="shared" si="82"/>
        <v>0</v>
      </c>
      <c r="R33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45130</v>
      </c>
      <c r="T33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34" s="186">
        <f ca="1">IF(Tabla33610673[[#This Row],[Equity]]&lt;Tabla33610673[[#This Row],[Equity Peak]],(Tabla33610673[[#This Row],[Equity Peak]]-Tabla33610673[[#This Row],[Equity]])/Tabla33610673[[#This Row],[Equity Peak]],"")</f>
        <v>4.7840075953373071E-2</v>
      </c>
      <c r="V334" s="187">
        <f t="shared" si="83"/>
        <v>0</v>
      </c>
      <c r="W334" s="187">
        <f t="shared" si="84"/>
        <v>0</v>
      </c>
      <c r="X334" s="187">
        <f t="shared" si="85"/>
        <v>0</v>
      </c>
      <c r="Y334" s="187">
        <f t="shared" si="86"/>
        <v>0</v>
      </c>
      <c r="Z334" s="187">
        <f t="shared" si="87"/>
        <v>0.96</v>
      </c>
      <c r="AA334" s="183">
        <f t="shared" si="88"/>
        <v>0</v>
      </c>
      <c r="AB334" s="187">
        <f t="shared" si="89"/>
        <v>0</v>
      </c>
      <c r="AC334" s="183">
        <f t="shared" si="90"/>
        <v>0</v>
      </c>
      <c r="AD334" s="188">
        <f t="shared" si="91"/>
        <v>1.804861111108039</v>
      </c>
      <c r="AE334" s="188">
        <f t="shared" si="92"/>
        <v>1.804861111108039</v>
      </c>
      <c r="AF334" s="188">
        <f t="shared" si="93"/>
        <v>0</v>
      </c>
      <c r="AG334" s="188">
        <f t="shared" si="94"/>
        <v>0</v>
      </c>
    </row>
    <row r="335" spans="2:33" ht="15" customHeight="1" x14ac:dyDescent="0.15">
      <c r="B335" s="174" t="s">
        <v>19</v>
      </c>
      <c r="C335" s="175" t="s">
        <v>15</v>
      </c>
      <c r="D335" s="176" t="str">
        <f t="shared" si="76"/>
        <v>C</v>
      </c>
      <c r="E335" s="177" t="d">
        <v>2021-08-05T11:00:00.00000020954757600</v>
      </c>
      <c r="F335" s="178" t="s">
        <v>77</v>
      </c>
      <c r="G335" s="179">
        <v>1813.83</v>
      </c>
      <c r="H335" s="179">
        <v>1809.81</v>
      </c>
      <c r="I335" s="180">
        <f t="shared" si="77"/>
        <v>4.0199999999999818</v>
      </c>
      <c r="J335" s="179">
        <v>1833.11</v>
      </c>
      <c r="K335" s="177" t="d">
        <v>2021-08-05T11:23:59.99999987427145575</v>
      </c>
      <c r="L335" s="179">
        <v>1809.81</v>
      </c>
      <c r="M335" s="181">
        <f t="shared" si="78"/>
        <v>-4.0199999999999996</v>
      </c>
      <c r="N335" s="182">
        <f t="shared" si="79"/>
        <v>-1</v>
      </c>
      <c r="O335" s="183">
        <f t="shared" si="80"/>
        <v>0</v>
      </c>
      <c r="P335" s="184">
        <f t="shared" si="81"/>
        <v>0</v>
      </c>
      <c r="Q335" s="184">
        <f t="shared" si="82"/>
        <v>-1</v>
      </c>
      <c r="R33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44890</v>
      </c>
      <c r="T33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35" s="186">
        <f ca="1">IF(Tabla33610673[[#This Row],[Equity]]&lt;Tabla33610673[[#This Row],[Equity Peak]],(Tabla33610673[[#This Row],[Equity Peak]]-Tabla33610673[[#This Row],[Equity]])/Tabla33610673[[#This Row],[Equity Peak]],"")</f>
        <v>5.2903634157919724E-2</v>
      </c>
      <c r="V335" s="187">
        <f t="shared" si="83"/>
        <v>0</v>
      </c>
      <c r="W335" s="187">
        <f t="shared" si="84"/>
        <v>0</v>
      </c>
      <c r="X335" s="187">
        <f t="shared" si="85"/>
        <v>-1</v>
      </c>
      <c r="Y335" s="187">
        <f t="shared" si="86"/>
        <v>0</v>
      </c>
      <c r="Z335" s="187">
        <f t="shared" si="87"/>
        <v>0</v>
      </c>
      <c r="AA335" s="183">
        <f t="shared" si="88"/>
        <v>0</v>
      </c>
      <c r="AB335" s="187">
        <f t="shared" si="89"/>
        <v>0</v>
      </c>
      <c r="AC335" s="183">
        <f t="shared" si="90"/>
        <v>0</v>
      </c>
      <c r="AD335" s="188">
        <f t="shared" si="91"/>
        <v>1.6666666662786156E-2</v>
      </c>
      <c r="AE335" s="188">
        <f t="shared" si="92"/>
        <v>0</v>
      </c>
      <c r="AF335" s="188">
        <f t="shared" si="93"/>
        <v>1.6666666662786156E-2</v>
      </c>
      <c r="AG335" s="188">
        <f t="shared" si="94"/>
        <v>0</v>
      </c>
    </row>
    <row r="336" spans="2:33" ht="15" customHeight="1" x14ac:dyDescent="0.15">
      <c r="B336" s="174" t="s">
        <v>5</v>
      </c>
      <c r="C336" s="175" t="s">
        <v>15</v>
      </c>
      <c r="D336" s="176" t="str">
        <f t="shared" si="76"/>
        <v>C</v>
      </c>
      <c r="E336" s="177" t="d">
        <v>2021-08-04T08:29:59.99999979045242400</v>
      </c>
      <c r="F336" s="178" t="s">
        <v>81</v>
      </c>
      <c r="G336" s="179">
        <v>15063.59</v>
      </c>
      <c r="H336" s="179">
        <v>15017.33</v>
      </c>
      <c r="I336" s="180">
        <f t="shared" si="77"/>
        <v>46.260000000000218</v>
      </c>
      <c r="J336" s="179">
        <v>15341.12</v>
      </c>
      <c r="K336" s="177" t="d">
        <v>2021-08-04T17:23:59.99999987427145575</v>
      </c>
      <c r="L336" s="179">
        <v>15017.33</v>
      </c>
      <c r="M336" s="181">
        <f t="shared" si="78"/>
        <v>-46.26</v>
      </c>
      <c r="N336" s="182">
        <f t="shared" si="79"/>
        <v>-1</v>
      </c>
      <c r="O336" s="183">
        <f t="shared" si="80"/>
        <v>0</v>
      </c>
      <c r="P336" s="184">
        <f t="shared" si="81"/>
        <v>0</v>
      </c>
      <c r="Q336" s="184">
        <f t="shared" si="82"/>
        <v>-1</v>
      </c>
      <c r="R33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45140</v>
      </c>
      <c r="T33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36" s="186">
        <f ca="1">IF(Tabla33610673[[#This Row],[Equity]]&lt;Tabla33610673[[#This Row],[Equity Peak]],(Tabla33610673[[#This Row],[Equity Peak]]-Tabla33610673[[#This Row],[Equity]])/Tabla33610673[[#This Row],[Equity Peak]],"")</f>
        <v>4.7629094361516959E-2</v>
      </c>
      <c r="V336" s="187">
        <f t="shared" si="83"/>
        <v>0</v>
      </c>
      <c r="W336" s="187">
        <f t="shared" si="84"/>
        <v>0</v>
      </c>
      <c r="X336" s="187">
        <f t="shared" si="85"/>
        <v>0</v>
      </c>
      <c r="Y336" s="187">
        <f t="shared" si="86"/>
        <v>0</v>
      </c>
      <c r="Z336" s="187">
        <f t="shared" si="87"/>
        <v>-1</v>
      </c>
      <c r="AA336" s="183">
        <f t="shared" si="88"/>
        <v>0</v>
      </c>
      <c r="AB336" s="187">
        <f t="shared" si="89"/>
        <v>0</v>
      </c>
      <c r="AC336" s="183">
        <f t="shared" si="90"/>
        <v>0</v>
      </c>
      <c r="AD336" s="188">
        <f t="shared" si="91"/>
        <v>0.37083333333430346</v>
      </c>
      <c r="AE336" s="188">
        <f t="shared" si="92"/>
        <v>0</v>
      </c>
      <c r="AF336" s="188">
        <f t="shared" si="93"/>
        <v>0.37083333333430346</v>
      </c>
      <c r="AG336" s="188">
        <f t="shared" si="94"/>
        <v>0</v>
      </c>
    </row>
    <row r="337" spans="2:33" ht="15" customHeight="1" x14ac:dyDescent="0.15">
      <c r="B337" s="174" t="s">
        <v>7</v>
      </c>
      <c r="C337" s="175" t="s">
        <v>13</v>
      </c>
      <c r="D337" s="176" t="str">
        <f t="shared" ref="D337:D400" si="95">IF(E337&lt;&gt;"",IF(K337&lt;&gt;"","C","O"),"")</f>
        <v>C</v>
      </c>
      <c r="E337" s="177" t="d">
        <v>2021-08-04T15:30:00.00000020954757600</v>
      </c>
      <c r="F337" s="178" t="s">
        <v>103</v>
      </c>
      <c r="G337" s="179">
        <v>108.863</v>
      </c>
      <c r="H337" s="179">
        <v>109.026</v>
      </c>
      <c r="I337" s="180">
        <f t="shared" ref="I337:I400" si="96">ABS(G337-H337)</f>
        <v>0.1629999999999967</v>
      </c>
      <c r="J337" s="179">
        <v>107.84</v>
      </c>
      <c r="K337" s="177" t="d">
        <v>2021-08-04T17:03:59.999999734573066125</v>
      </c>
      <c r="L337" s="179">
        <v>108.97799999999999</v>
      </c>
      <c r="M337" s="181">
        <f t="shared" ref="M337:M400" si="97">ROUND(IF(C337="L",(L337-G337),(G337-L337)),4)</f>
        <v>-0.115</v>
      </c>
      <c r="N337" s="182">
        <f t="shared" ref="N337:N400" si="98">IFERROR(ROUND((M337/I337),2),"")</f>
        <v>-0.71</v>
      </c>
      <c r="O337" s="183">
        <f t="shared" ref="O337:O400" si="99">IF(D337="O",IF(N337&lt;0,N337,0),0)</f>
        <v>0</v>
      </c>
      <c r="P337" s="184">
        <f t="shared" ref="P337:P400" si="100">IF(N337&gt;= 0,N337,0)</f>
        <v>0</v>
      </c>
      <c r="Q337" s="184">
        <f t="shared" ref="Q337:Q400" si="101">IF(N337&lt;0,N337,0)</f>
        <v>-0.71</v>
      </c>
      <c r="R33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45390</v>
      </c>
      <c r="T33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37" s="186">
        <f ca="1">IF(Tabla33610673[[#This Row],[Equity]]&lt;Tabla33610673[[#This Row],[Equity Peak]],(Tabla33610673[[#This Row],[Equity Peak]]-Tabla33610673[[#This Row],[Equity]])/Tabla33610673[[#This Row],[Equity Peak]],"")</f>
        <v>4.2354554565114194E-2</v>
      </c>
      <c r="V337" s="187">
        <f t="shared" ref="V337:V400" si="102">IF(B337="FX",N337,0)</f>
        <v>-0.71</v>
      </c>
      <c r="W337" s="187">
        <f t="shared" ref="W337:W400" si="103">IF(D337="O",IF(V337&lt;0,V337,0),0)</f>
        <v>0</v>
      </c>
      <c r="X337" s="187">
        <f t="shared" ref="X337:X400" si="104">IF(B337="COM",N337,0)</f>
        <v>0</v>
      </c>
      <c r="Y337" s="187">
        <f t="shared" ref="Y337:Y400" si="105">IF(D337="O",IF(X337&lt;0,X337,0),0)</f>
        <v>0</v>
      </c>
      <c r="Z337" s="187">
        <f t="shared" ref="Z337:Z400" si="106">IF(B337="IND",N337,0)</f>
        <v>0</v>
      </c>
      <c r="AA337" s="183">
        <f t="shared" ref="AA337:AA400" si="107">IF(D337="O",IF(Z337&lt;0,Z337,0),0)</f>
        <v>0</v>
      </c>
      <c r="AB337" s="187">
        <f t="shared" ref="AB337:AB400" si="108">IF(B337="CRYPTO",N337,0)</f>
        <v>0</v>
      </c>
      <c r="AC337" s="183">
        <f t="shared" ref="AC337:AC400" si="109">IF(D337="O",IF(AB337&lt;0,AB337,0),0)</f>
        <v>0</v>
      </c>
      <c r="AD337" s="188">
        <f t="shared" ref="AD337:AD400" si="110">IF(K337&lt;&gt;"",K337-E337,0)</f>
        <v>6.5277777772280388E-2</v>
      </c>
      <c r="AE337" s="188">
        <f t="shared" ref="AE337:AE400" si="111">IF(N337&gt;0,AD337,0)</f>
        <v>0</v>
      </c>
      <c r="AF337" s="188">
        <f t="shared" ref="AF337:AF400" si="112">IF(N337&lt;0,AD337,0)</f>
        <v>6.5277777772280388E-2</v>
      </c>
      <c r="AG337" s="188">
        <f t="shared" ref="AG337:AG400" si="113">IF(N337=0,AD337,0)</f>
        <v>0</v>
      </c>
    </row>
    <row r="338" spans="2:33" ht="15" customHeight="1" x14ac:dyDescent="0.15">
      <c r="B338" s="174" t="s">
        <v>19</v>
      </c>
      <c r="C338" s="175" t="s">
        <v>15</v>
      </c>
      <c r="D338" s="176" t="str">
        <f t="shared" si="95"/>
        <v>C</v>
      </c>
      <c r="E338" s="177" t="d">
        <v>2021-08-04T14:29:59.99999979045242400</v>
      </c>
      <c r="F338" s="178" t="s">
        <v>77</v>
      </c>
      <c r="G338" s="179">
        <v>1816.34</v>
      </c>
      <c r="H338" s="179">
        <v>1812.26</v>
      </c>
      <c r="I338" s="180">
        <f t="shared" si="96"/>
        <v>4.0799999999999272</v>
      </c>
      <c r="J338" s="179">
        <v>1835.91</v>
      </c>
      <c r="K338" s="177" t="d">
        <v>2021-08-04T17:03:59.999999734573066125</v>
      </c>
      <c r="L338" s="179">
        <v>1826.34</v>
      </c>
      <c r="M338" s="181">
        <f t="shared" si="97"/>
        <v>10</v>
      </c>
      <c r="N338" s="182">
        <f t="shared" si="98"/>
        <v>2.4500000000000002</v>
      </c>
      <c r="O338" s="183">
        <f t="shared" si="99"/>
        <v>0</v>
      </c>
      <c r="P338" s="184">
        <f t="shared" si="100"/>
        <v>2.4500000000000002</v>
      </c>
      <c r="Q338" s="184">
        <f t="shared" si="101"/>
        <v>0</v>
      </c>
      <c r="R33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45567.5</v>
      </c>
      <c r="T33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38" s="186">
        <f ca="1">IF(Tabla33610673[[#This Row],[Equity]]&lt;Tabla33610673[[#This Row],[Equity Peak]],(Tabla33610673[[#This Row],[Equity Peak]]-Tabla33610673[[#This Row],[Equity]])/Tabla33610673[[#This Row],[Equity Peak]],"")</f>
        <v>3.8609631309668234E-2</v>
      </c>
      <c r="V338" s="187">
        <f t="shared" si="102"/>
        <v>0</v>
      </c>
      <c r="W338" s="187">
        <f t="shared" si="103"/>
        <v>0</v>
      </c>
      <c r="X338" s="187">
        <f t="shared" si="104"/>
        <v>2.4500000000000002</v>
      </c>
      <c r="Y338" s="187">
        <f t="shared" si="105"/>
        <v>0</v>
      </c>
      <c r="Z338" s="187">
        <f t="shared" si="106"/>
        <v>0</v>
      </c>
      <c r="AA338" s="183">
        <f t="shared" si="107"/>
        <v>0</v>
      </c>
      <c r="AB338" s="187">
        <f t="shared" si="108"/>
        <v>0</v>
      </c>
      <c r="AC338" s="183">
        <f t="shared" si="109"/>
        <v>0</v>
      </c>
      <c r="AD338" s="188">
        <f t="shared" si="110"/>
        <v>0.10694444444379769</v>
      </c>
      <c r="AE338" s="188">
        <f t="shared" si="111"/>
        <v>0.10694444444379769</v>
      </c>
      <c r="AF338" s="188">
        <f t="shared" si="112"/>
        <v>0</v>
      </c>
      <c r="AG338" s="188">
        <f t="shared" si="113"/>
        <v>0</v>
      </c>
    </row>
    <row r="339" spans="2:33" ht="15" customHeight="1" x14ac:dyDescent="0.15">
      <c r="B339" s="174" t="s">
        <v>5</v>
      </c>
      <c r="C339" s="175" t="s">
        <v>15</v>
      </c>
      <c r="D339" s="176" t="str">
        <f t="shared" si="95"/>
        <v>C</v>
      </c>
      <c r="E339" s="177" t="d">
        <v>2021-08-03T18:45:00.000</v>
      </c>
      <c r="F339" s="178" t="s">
        <v>82</v>
      </c>
      <c r="G339" s="179">
        <v>4407.1000000000004</v>
      </c>
      <c r="H339" s="179">
        <v>4391.55</v>
      </c>
      <c r="I339" s="180">
        <f t="shared" si="96"/>
        <v>15.550000000000182</v>
      </c>
      <c r="J339" s="179">
        <v>4508.16</v>
      </c>
      <c r="K339" s="177" t="d">
        <v>2021-08-04T15:52:00.00000011175870900</v>
      </c>
      <c r="L339" s="179">
        <v>4407.26</v>
      </c>
      <c r="M339" s="181">
        <f t="shared" si="97"/>
        <v>0.16</v>
      </c>
      <c r="N339" s="182">
        <f t="shared" si="98"/>
        <v>0.01</v>
      </c>
      <c r="O339" s="183">
        <f t="shared" si="99"/>
        <v>0</v>
      </c>
      <c r="P339" s="184">
        <f t="shared" si="100"/>
        <v>0.01</v>
      </c>
      <c r="Q339" s="184">
        <f t="shared" si="101"/>
        <v>0</v>
      </c>
      <c r="R33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44955</v>
      </c>
      <c r="T33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39" s="186">
        <f ca="1">IF(Tabla33610673[[#This Row],[Equity]]&lt;Tabla33610673[[#This Row],[Equity Peak]],(Tabla33610673[[#This Row],[Equity Peak]]-Tabla33610673[[#This Row],[Equity]])/Tabla33610673[[#This Row],[Equity Peak]],"")</f>
        <v>5.1532253810855001E-2</v>
      </c>
      <c r="V339" s="187">
        <f t="shared" si="102"/>
        <v>0</v>
      </c>
      <c r="W339" s="187">
        <f t="shared" si="103"/>
        <v>0</v>
      </c>
      <c r="X339" s="187">
        <f t="shared" si="104"/>
        <v>0</v>
      </c>
      <c r="Y339" s="187">
        <f t="shared" si="105"/>
        <v>0</v>
      </c>
      <c r="Z339" s="187">
        <f t="shared" si="106"/>
        <v>0.01</v>
      </c>
      <c r="AA339" s="183">
        <f t="shared" si="107"/>
        <v>0</v>
      </c>
      <c r="AB339" s="187">
        <f t="shared" si="108"/>
        <v>0</v>
      </c>
      <c r="AC339" s="183">
        <f t="shared" si="109"/>
        <v>0</v>
      </c>
      <c r="AD339" s="188">
        <f t="shared" si="110"/>
        <v>0.87986111111240461</v>
      </c>
      <c r="AE339" s="188">
        <f t="shared" si="111"/>
        <v>0.87986111111240461</v>
      </c>
      <c r="AF339" s="188">
        <f t="shared" si="112"/>
        <v>0</v>
      </c>
      <c r="AG339" s="188">
        <f t="shared" si="113"/>
        <v>0</v>
      </c>
    </row>
    <row r="340" spans="2:33" ht="15" customHeight="1" x14ac:dyDescent="0.15">
      <c r="B340" s="174" t="s">
        <v>7</v>
      </c>
      <c r="C340" s="175" t="s">
        <v>13</v>
      </c>
      <c r="D340" s="176" t="str">
        <f t="shared" si="95"/>
        <v>C</v>
      </c>
      <c r="E340" s="177" t="d">
        <v>2021-08-03T15:59:59.99999979045242400</v>
      </c>
      <c r="F340" s="178" t="s">
        <v>103</v>
      </c>
      <c r="G340" s="179">
        <v>109.036</v>
      </c>
      <c r="H340" s="179">
        <v>109.206</v>
      </c>
      <c r="I340" s="180">
        <f t="shared" si="96"/>
        <v>0.17000000000000171</v>
      </c>
      <c r="J340" s="179">
        <v>107.96899999999999</v>
      </c>
      <c r="K340" s="177" t="d">
        <v>2021-08-03T20:45:00.00000020954757600</v>
      </c>
      <c r="L340" s="179">
        <v>109.12</v>
      </c>
      <c r="M340" s="181">
        <f t="shared" si="97"/>
        <v>-8.4000000000000005E-2</v>
      </c>
      <c r="N340" s="182">
        <f t="shared" si="98"/>
        <v>-0.49</v>
      </c>
      <c r="O340" s="183">
        <f t="shared" si="99"/>
        <v>0</v>
      </c>
      <c r="P340" s="184">
        <f t="shared" si="100"/>
        <v>0</v>
      </c>
      <c r="Q340" s="184">
        <f t="shared" si="101"/>
        <v>-0.49</v>
      </c>
      <c r="R34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44952.5</v>
      </c>
      <c r="T34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40" s="186">
        <f ca="1">IF(Tabla33610673[[#This Row],[Equity]]&lt;Tabla33610673[[#This Row],[Equity Peak]],(Tabla33610673[[#This Row],[Equity Peak]]-Tabla33610673[[#This Row],[Equity]])/Tabla33610673[[#This Row],[Equity Peak]],"")</f>
        <v>5.1584999208819031E-2</v>
      </c>
      <c r="V340" s="187">
        <f t="shared" si="102"/>
        <v>-0.49</v>
      </c>
      <c r="W340" s="187">
        <f t="shared" si="103"/>
        <v>0</v>
      </c>
      <c r="X340" s="187">
        <f t="shared" si="104"/>
        <v>0</v>
      </c>
      <c r="Y340" s="187">
        <f t="shared" si="105"/>
        <v>0</v>
      </c>
      <c r="Z340" s="187">
        <f t="shared" si="106"/>
        <v>0</v>
      </c>
      <c r="AA340" s="183">
        <f t="shared" si="107"/>
        <v>0</v>
      </c>
      <c r="AB340" s="187">
        <f t="shared" si="108"/>
        <v>0</v>
      </c>
      <c r="AC340" s="183">
        <f t="shared" si="109"/>
        <v>0</v>
      </c>
      <c r="AD340" s="188">
        <f t="shared" si="110"/>
        <v>0.19791666667151731</v>
      </c>
      <c r="AE340" s="188">
        <f t="shared" si="111"/>
        <v>0</v>
      </c>
      <c r="AF340" s="188">
        <f t="shared" si="112"/>
        <v>0.19791666667151731</v>
      </c>
      <c r="AG340" s="188">
        <f t="shared" si="113"/>
        <v>0</v>
      </c>
    </row>
    <row r="341" spans="2:33" ht="15" customHeight="1" x14ac:dyDescent="0.15">
      <c r="B341" s="174" t="s">
        <v>7</v>
      </c>
      <c r="C341" s="175" t="s">
        <v>13</v>
      </c>
      <c r="D341" s="176" t="str">
        <f t="shared" si="95"/>
        <v>C</v>
      </c>
      <c r="E341" s="177" t="d">
        <v>2021-08-03T16:44:59.99999979045242400</v>
      </c>
      <c r="F341" s="178" t="s">
        <v>102</v>
      </c>
      <c r="G341" s="179">
        <v>151.38200000000001</v>
      </c>
      <c r="H341" s="179">
        <v>151.679</v>
      </c>
      <c r="I341" s="180">
        <f t="shared" si="96"/>
        <v>0.29699999999999704</v>
      </c>
      <c r="J341" s="179">
        <v>149.80099999999999</v>
      </c>
      <c r="K341" s="177" t="d">
        <v>2021-08-03T18:36:59.99999969266355025</v>
      </c>
      <c r="L341" s="179">
        <v>151.62899999999999</v>
      </c>
      <c r="M341" s="181">
        <f t="shared" si="97"/>
        <v>-0.247</v>
      </c>
      <c r="N341" s="182">
        <f t="shared" si="98"/>
        <v>-0.83</v>
      </c>
      <c r="O341" s="183">
        <f t="shared" si="99"/>
        <v>0</v>
      </c>
      <c r="P341" s="184">
        <f t="shared" si="100"/>
        <v>0</v>
      </c>
      <c r="Q341" s="184">
        <f t="shared" si="101"/>
        <v>-0.83</v>
      </c>
      <c r="R34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45075</v>
      </c>
      <c r="T34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41" s="186">
        <f ca="1">IF(Tabla33610673[[#This Row],[Equity]]&lt;Tabla33610673[[#This Row],[Equity Peak]],(Tabla33610673[[#This Row],[Equity Peak]]-Tabla33610673[[#This Row],[Equity]])/Tabla33610673[[#This Row],[Equity Peak]],"")</f>
        <v>4.9000474708581675E-2</v>
      </c>
      <c r="V341" s="187">
        <f t="shared" si="102"/>
        <v>-0.83</v>
      </c>
      <c r="W341" s="187">
        <f t="shared" si="103"/>
        <v>0</v>
      </c>
      <c r="X341" s="187">
        <f t="shared" si="104"/>
        <v>0</v>
      </c>
      <c r="Y341" s="187">
        <f t="shared" si="105"/>
        <v>0</v>
      </c>
      <c r="Z341" s="187">
        <f t="shared" si="106"/>
        <v>0</v>
      </c>
      <c r="AA341" s="183">
        <f t="shared" si="107"/>
        <v>0</v>
      </c>
      <c r="AB341" s="187">
        <f t="shared" si="108"/>
        <v>0</v>
      </c>
      <c r="AC341" s="183">
        <f t="shared" si="109"/>
        <v>0</v>
      </c>
      <c r="AD341" s="188">
        <f t="shared" si="110"/>
        <v>7.7777777776645962E-2</v>
      </c>
      <c r="AE341" s="188">
        <f t="shared" si="111"/>
        <v>0</v>
      </c>
      <c r="AF341" s="188">
        <f t="shared" si="112"/>
        <v>7.7777777776645962E-2</v>
      </c>
      <c r="AG341" s="188">
        <f t="shared" si="113"/>
        <v>0</v>
      </c>
    </row>
    <row r="342" spans="2:33" ht="15" customHeight="1" x14ac:dyDescent="0.15">
      <c r="B342" s="174" t="s">
        <v>19</v>
      </c>
      <c r="C342" s="175" t="s">
        <v>15</v>
      </c>
      <c r="D342" s="176" t="str">
        <f t="shared" si="95"/>
        <v>C</v>
      </c>
      <c r="E342" s="177" t="d">
        <v>2021-08-03T17:00:00.00000020954757600</v>
      </c>
      <c r="F342" s="178" t="s">
        <v>77</v>
      </c>
      <c r="G342" s="179">
        <v>1813.8</v>
      </c>
      <c r="H342" s="179">
        <v>1809.48</v>
      </c>
      <c r="I342" s="180">
        <f t="shared" si="96"/>
        <v>4.3199999999999363</v>
      </c>
      <c r="J342" s="179">
        <v>1834.52</v>
      </c>
      <c r="K342" s="177" t="d">
        <v>2021-08-03T17:39:00.00000029336660775</v>
      </c>
      <c r="L342" s="179">
        <v>1809.48</v>
      </c>
      <c r="M342" s="181">
        <f t="shared" si="97"/>
        <v>-4.32</v>
      </c>
      <c r="N342" s="182">
        <f t="shared" si="98"/>
        <v>-1</v>
      </c>
      <c r="O342" s="183">
        <f t="shared" si="99"/>
        <v>0</v>
      </c>
      <c r="P342" s="184">
        <f t="shared" si="100"/>
        <v>0</v>
      </c>
      <c r="Q342" s="184">
        <f t="shared" si="101"/>
        <v>-1</v>
      </c>
      <c r="R34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45282.5</v>
      </c>
      <c r="T34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42" s="186">
        <f ca="1">IF(Tabla33610673[[#This Row],[Equity]]&lt;Tabla33610673[[#This Row],[Equity Peak]],(Tabla33610673[[#This Row],[Equity Peak]]-Tabla33610673[[#This Row],[Equity]])/Tabla33610673[[#This Row],[Equity Peak]],"")</f>
        <v>4.4622606677567379E-2</v>
      </c>
      <c r="V342" s="187">
        <f t="shared" si="102"/>
        <v>0</v>
      </c>
      <c r="W342" s="187">
        <f t="shared" si="103"/>
        <v>0</v>
      </c>
      <c r="X342" s="187">
        <f t="shared" si="104"/>
        <v>-1</v>
      </c>
      <c r="Y342" s="187">
        <f t="shared" si="105"/>
        <v>0</v>
      </c>
      <c r="Z342" s="187">
        <f t="shared" si="106"/>
        <v>0</v>
      </c>
      <c r="AA342" s="183">
        <f t="shared" si="107"/>
        <v>0</v>
      </c>
      <c r="AB342" s="187">
        <f t="shared" si="108"/>
        <v>0</v>
      </c>
      <c r="AC342" s="183">
        <f t="shared" si="109"/>
        <v>0</v>
      </c>
      <c r="AD342" s="188">
        <f t="shared" si="110"/>
        <v>2.7083333334303461E-2</v>
      </c>
      <c r="AE342" s="188">
        <f t="shared" si="111"/>
        <v>0</v>
      </c>
      <c r="AF342" s="188">
        <f t="shared" si="112"/>
        <v>2.7083333334303461E-2</v>
      </c>
      <c r="AG342" s="188">
        <f t="shared" si="113"/>
        <v>0</v>
      </c>
    </row>
    <row r="343" spans="2:33" ht="15" customHeight="1" x14ac:dyDescent="0.15">
      <c r="B343" s="174" t="s">
        <v>5</v>
      </c>
      <c r="C343" s="175" t="s">
        <v>13</v>
      </c>
      <c r="D343" s="176" t="str">
        <f t="shared" si="95"/>
        <v>C</v>
      </c>
      <c r="E343" s="177" t="d">
        <v>2021-08-03T16:44:59.99999979045242400</v>
      </c>
      <c r="F343" s="178" t="s">
        <v>82</v>
      </c>
      <c r="G343" s="179">
        <v>4386.47</v>
      </c>
      <c r="H343" s="179">
        <v>4401.51</v>
      </c>
      <c r="I343" s="180">
        <f t="shared" si="96"/>
        <v>15.039999999999964</v>
      </c>
      <c r="J343" s="179">
        <v>4288.7</v>
      </c>
      <c r="K343" s="177" t="d">
        <v>2021-08-03T17:23:59.99999987427145575</v>
      </c>
      <c r="L343" s="179">
        <v>4390.25</v>
      </c>
      <c r="M343" s="181">
        <f t="shared" si="97"/>
        <v>-3.78</v>
      </c>
      <c r="N343" s="182">
        <f t="shared" si="98"/>
        <v>-0.25</v>
      </c>
      <c r="O343" s="183">
        <f t="shared" si="99"/>
        <v>0</v>
      </c>
      <c r="P343" s="184">
        <f t="shared" si="100"/>
        <v>0</v>
      </c>
      <c r="Q343" s="184">
        <f t="shared" si="101"/>
        <v>-0.25</v>
      </c>
      <c r="R34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45532.5</v>
      </c>
      <c r="T34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43" s="186">
        <f ca="1">IF(Tabla33610673[[#This Row],[Equity]]&lt;Tabla33610673[[#This Row],[Equity Peak]],(Tabla33610673[[#This Row],[Equity Peak]]-Tabla33610673[[#This Row],[Equity]])/Tabla33610673[[#This Row],[Equity Peak]],"")</f>
        <v>3.9348066881164621E-2</v>
      </c>
      <c r="V343" s="187">
        <f t="shared" si="102"/>
        <v>0</v>
      </c>
      <c r="W343" s="187">
        <f t="shared" si="103"/>
        <v>0</v>
      </c>
      <c r="X343" s="187">
        <f t="shared" si="104"/>
        <v>0</v>
      </c>
      <c r="Y343" s="187">
        <f t="shared" si="105"/>
        <v>0</v>
      </c>
      <c r="Z343" s="187">
        <f t="shared" si="106"/>
        <v>-0.25</v>
      </c>
      <c r="AA343" s="183">
        <f t="shared" si="107"/>
        <v>0</v>
      </c>
      <c r="AB343" s="187">
        <f t="shared" si="108"/>
        <v>0</v>
      </c>
      <c r="AC343" s="183">
        <f t="shared" si="109"/>
        <v>0</v>
      </c>
      <c r="AD343" s="188">
        <f t="shared" si="110"/>
        <v>2.7083333334303461E-2</v>
      </c>
      <c r="AE343" s="188">
        <f t="shared" si="111"/>
        <v>0</v>
      </c>
      <c r="AF343" s="188">
        <f t="shared" si="112"/>
        <v>2.7083333334303461E-2</v>
      </c>
      <c r="AG343" s="188">
        <f t="shared" si="113"/>
        <v>0</v>
      </c>
    </row>
    <row r="344" spans="2:33" ht="15" customHeight="1" x14ac:dyDescent="0.15">
      <c r="B344" s="174" t="s">
        <v>7</v>
      </c>
      <c r="C344" s="175" t="s">
        <v>13</v>
      </c>
      <c r="D344" s="176" t="str">
        <f t="shared" si="95"/>
        <v>C</v>
      </c>
      <c r="E344" s="177" t="d">
        <v>2021-08-02T14:00:00.00000020954757600</v>
      </c>
      <c r="F344" s="178" t="s">
        <v>102</v>
      </c>
      <c r="G344" s="179">
        <v>152.22200000000001</v>
      </c>
      <c r="H344" s="179">
        <v>152.51599999999999</v>
      </c>
      <c r="I344" s="180">
        <f t="shared" si="96"/>
        <v>0.29399999999998272</v>
      </c>
      <c r="J344" s="179">
        <v>150.65199999999999</v>
      </c>
      <c r="K344" s="177" t="d">
        <v>2021-08-03T10:38:59.99999987427145575</v>
      </c>
      <c r="L344" s="179">
        <v>151.946</v>
      </c>
      <c r="M344" s="181">
        <f t="shared" si="97"/>
        <v>0.27600000000000002</v>
      </c>
      <c r="N344" s="182">
        <f t="shared" si="98"/>
        <v>0.94</v>
      </c>
      <c r="O344" s="183">
        <f t="shared" si="99"/>
        <v>0</v>
      </c>
      <c r="P344" s="184">
        <f t="shared" si="100"/>
        <v>0.94</v>
      </c>
      <c r="Q344" s="184">
        <f t="shared" si="101"/>
        <v>0</v>
      </c>
      <c r="R34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45595</v>
      </c>
      <c r="T34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44" s="186">
        <f ca="1">IF(Tabla33610673[[#This Row],[Equity]]&lt;Tabla33610673[[#This Row],[Equity Peak]],(Tabla33610673[[#This Row],[Equity Peak]]-Tabla33610673[[#This Row],[Equity]])/Tabla33610673[[#This Row],[Equity Peak]],"")</f>
        <v>3.8029431932063928E-2</v>
      </c>
      <c r="V344" s="187">
        <f t="shared" si="102"/>
        <v>0.94</v>
      </c>
      <c r="W344" s="187">
        <f t="shared" si="103"/>
        <v>0</v>
      </c>
      <c r="X344" s="187">
        <f t="shared" si="104"/>
        <v>0</v>
      </c>
      <c r="Y344" s="187">
        <f t="shared" si="105"/>
        <v>0</v>
      </c>
      <c r="Z344" s="187">
        <f t="shared" si="106"/>
        <v>0</v>
      </c>
      <c r="AA344" s="183">
        <f t="shared" si="107"/>
        <v>0</v>
      </c>
      <c r="AB344" s="187">
        <f t="shared" si="108"/>
        <v>0</v>
      </c>
      <c r="AC344" s="183">
        <f t="shared" si="109"/>
        <v>0</v>
      </c>
      <c r="AD344" s="188">
        <f t="shared" si="110"/>
        <v>0.86041666666278616</v>
      </c>
      <c r="AE344" s="188">
        <f t="shared" si="111"/>
        <v>0.86041666666278616</v>
      </c>
      <c r="AF344" s="188">
        <f t="shared" si="112"/>
        <v>0</v>
      </c>
      <c r="AG344" s="188">
        <f t="shared" si="113"/>
        <v>0</v>
      </c>
    </row>
    <row r="345" spans="2:33" ht="15" customHeight="1" x14ac:dyDescent="0.15">
      <c r="B345" s="174" t="s">
        <v>5</v>
      </c>
      <c r="C345" s="175" t="s">
        <v>13</v>
      </c>
      <c r="D345" s="176" t="str">
        <f t="shared" si="95"/>
        <v>C</v>
      </c>
      <c r="E345" s="177" t="d">
        <v>2021-08-02T22:30:00.000</v>
      </c>
      <c r="F345" s="178" t="s">
        <v>82</v>
      </c>
      <c r="G345" s="179">
        <v>4392.71</v>
      </c>
      <c r="H345" s="179">
        <v>4409.6000000000004</v>
      </c>
      <c r="I345" s="180">
        <f t="shared" si="96"/>
        <v>16.890000000000327</v>
      </c>
      <c r="J345" s="179">
        <v>4282.8999999999996</v>
      </c>
      <c r="K345" s="177" t="d">
        <v>2021-08-03T10:38:59.99999987427145575</v>
      </c>
      <c r="L345" s="179">
        <v>4403.76</v>
      </c>
      <c r="M345" s="181">
        <f t="shared" si="97"/>
        <v>-11.05</v>
      </c>
      <c r="N345" s="182">
        <f t="shared" si="98"/>
        <v>-0.65</v>
      </c>
      <c r="O345" s="183">
        <f t="shared" si="99"/>
        <v>0</v>
      </c>
      <c r="P345" s="184">
        <f t="shared" si="100"/>
        <v>0</v>
      </c>
      <c r="Q345" s="184">
        <f t="shared" si="101"/>
        <v>-0.65</v>
      </c>
      <c r="R34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45360</v>
      </c>
      <c r="T34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45" s="186">
        <f ca="1">IF(Tabla33610673[[#This Row],[Equity]]&lt;Tabla33610673[[#This Row],[Equity Peak]],(Tabla33610673[[#This Row],[Equity Peak]]-Tabla33610673[[#This Row],[Equity]])/Tabla33610673[[#This Row],[Equity Peak]],"")</f>
        <v>4.2987499340682522E-2</v>
      </c>
      <c r="V345" s="187">
        <f t="shared" si="102"/>
        <v>0</v>
      </c>
      <c r="W345" s="187">
        <f t="shared" si="103"/>
        <v>0</v>
      </c>
      <c r="X345" s="187">
        <f t="shared" si="104"/>
        <v>0</v>
      </c>
      <c r="Y345" s="187">
        <f t="shared" si="105"/>
        <v>0</v>
      </c>
      <c r="Z345" s="187">
        <f t="shared" si="106"/>
        <v>-0.65</v>
      </c>
      <c r="AA345" s="183">
        <f t="shared" si="107"/>
        <v>0</v>
      </c>
      <c r="AB345" s="187">
        <f t="shared" si="108"/>
        <v>0</v>
      </c>
      <c r="AC345" s="183">
        <f t="shared" si="109"/>
        <v>0</v>
      </c>
      <c r="AD345" s="188">
        <f t="shared" si="110"/>
        <v>0.50624999999854481</v>
      </c>
      <c r="AE345" s="188">
        <f t="shared" si="111"/>
        <v>0</v>
      </c>
      <c r="AF345" s="188">
        <f t="shared" si="112"/>
        <v>0.50624999999854481</v>
      </c>
      <c r="AG345" s="188">
        <f t="shared" si="113"/>
        <v>0</v>
      </c>
    </row>
    <row r="346" spans="2:33" ht="15" customHeight="1" x14ac:dyDescent="0.15">
      <c r="B346" s="174" t="s">
        <v>19</v>
      </c>
      <c r="C346" s="175" t="s">
        <v>15</v>
      </c>
      <c r="D346" s="176" t="str">
        <f t="shared" si="95"/>
        <v>C</v>
      </c>
      <c r="E346" s="177" t="d">
        <v>2021-08-02T19:44:59.99999979045242400</v>
      </c>
      <c r="F346" s="178" t="s">
        <v>77</v>
      </c>
      <c r="G346" s="179">
        <v>1817.8</v>
      </c>
      <c r="H346" s="179">
        <v>1813.45</v>
      </c>
      <c r="I346" s="180">
        <f t="shared" si="96"/>
        <v>4.3499999999999091</v>
      </c>
      <c r="J346" s="179">
        <v>1838.7</v>
      </c>
      <c r="K346" s="177" t="d">
        <v>2021-08-02T22:35:59.99999991618096825</v>
      </c>
      <c r="L346" s="179">
        <v>1813.45</v>
      </c>
      <c r="M346" s="181">
        <f t="shared" si="97"/>
        <v>-4.3499999999999996</v>
      </c>
      <c r="N346" s="182">
        <f t="shared" si="98"/>
        <v>-1</v>
      </c>
      <c r="O346" s="183">
        <f t="shared" si="99"/>
        <v>0</v>
      </c>
      <c r="P346" s="184">
        <f t="shared" si="100"/>
        <v>0</v>
      </c>
      <c r="Q346" s="184">
        <f t="shared" si="101"/>
        <v>-1</v>
      </c>
      <c r="R34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45522.5</v>
      </c>
      <c r="T34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46" s="186">
        <f ca="1">IF(Tabla33610673[[#This Row],[Equity]]&lt;Tabla33610673[[#This Row],[Equity Peak]],(Tabla33610673[[#This Row],[Equity Peak]]-Tabla33610673[[#This Row],[Equity]])/Tabla33610673[[#This Row],[Equity Peak]],"")</f>
        <v>3.9559048473020726E-2</v>
      </c>
      <c r="V346" s="187">
        <f t="shared" si="102"/>
        <v>0</v>
      </c>
      <c r="W346" s="187">
        <f t="shared" si="103"/>
        <v>0</v>
      </c>
      <c r="X346" s="187">
        <f t="shared" si="104"/>
        <v>-1</v>
      </c>
      <c r="Y346" s="187">
        <f t="shared" si="105"/>
        <v>0</v>
      </c>
      <c r="Z346" s="187">
        <f t="shared" si="106"/>
        <v>0</v>
      </c>
      <c r="AA346" s="183">
        <f t="shared" si="107"/>
        <v>0</v>
      </c>
      <c r="AB346" s="187">
        <f t="shared" si="108"/>
        <v>0</v>
      </c>
      <c r="AC346" s="183">
        <f t="shared" si="109"/>
        <v>0</v>
      </c>
      <c r="AD346" s="188">
        <f t="shared" si="110"/>
        <v>0.11875000000145519</v>
      </c>
      <c r="AE346" s="188">
        <f t="shared" si="111"/>
        <v>0</v>
      </c>
      <c r="AF346" s="188">
        <f t="shared" si="112"/>
        <v>0.11875000000145519</v>
      </c>
      <c r="AG346" s="188">
        <f t="shared" si="113"/>
        <v>0</v>
      </c>
    </row>
    <row r="347" spans="2:33" ht="15" customHeight="1" x14ac:dyDescent="0.15">
      <c r="B347" s="174" t="s">
        <v>5</v>
      </c>
      <c r="C347" s="175" t="s">
        <v>15</v>
      </c>
      <c r="D347" s="176" t="str">
        <f t="shared" si="95"/>
        <v>C</v>
      </c>
      <c r="E347" s="177" t="d">
        <v>2021-08-02T01:44:59.99999979045242400</v>
      </c>
      <c r="F347" s="178" t="s">
        <v>82</v>
      </c>
      <c r="G347" s="179">
        <v>4415.76</v>
      </c>
      <c r="H347" s="179">
        <v>4399.45</v>
      </c>
      <c r="I347" s="180">
        <f t="shared" si="96"/>
        <v>16.3100000000004</v>
      </c>
      <c r="J347" s="179">
        <v>4521.78</v>
      </c>
      <c r="K347" s="177" t="d">
        <v>2021-08-02T14:03:59.999999734573066125</v>
      </c>
      <c r="L347" s="179">
        <v>4409.2</v>
      </c>
      <c r="M347" s="181">
        <f t="shared" si="97"/>
        <v>-6.56</v>
      </c>
      <c r="N347" s="182">
        <f t="shared" si="98"/>
        <v>-0.4</v>
      </c>
      <c r="O347" s="183">
        <f t="shared" si="99"/>
        <v>0</v>
      </c>
      <c r="P347" s="184">
        <f t="shared" si="100"/>
        <v>0</v>
      </c>
      <c r="Q347" s="184">
        <f t="shared" si="101"/>
        <v>-0.4</v>
      </c>
      <c r="R34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45772.5</v>
      </c>
      <c r="T34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47" s="186">
        <f ca="1">IF(Tabla33610673[[#This Row],[Equity]]&lt;Tabla33610673[[#This Row],[Equity Peak]],(Tabla33610673[[#This Row],[Equity Peak]]-Tabla33610673[[#This Row],[Equity]])/Tabla33610673[[#This Row],[Equity Peak]],"")</f>
        <v>3.4284508676617968E-2</v>
      </c>
      <c r="V347" s="187">
        <f t="shared" si="102"/>
        <v>0</v>
      </c>
      <c r="W347" s="187">
        <f t="shared" si="103"/>
        <v>0</v>
      </c>
      <c r="X347" s="187">
        <f t="shared" si="104"/>
        <v>0</v>
      </c>
      <c r="Y347" s="187">
        <f t="shared" si="105"/>
        <v>0</v>
      </c>
      <c r="Z347" s="187">
        <f t="shared" si="106"/>
        <v>-0.4</v>
      </c>
      <c r="AA347" s="183">
        <f t="shared" si="107"/>
        <v>0</v>
      </c>
      <c r="AB347" s="187">
        <f t="shared" si="108"/>
        <v>0</v>
      </c>
      <c r="AC347" s="183">
        <f t="shared" si="109"/>
        <v>0</v>
      </c>
      <c r="AD347" s="188">
        <f t="shared" si="110"/>
        <v>0.51319444444379769</v>
      </c>
      <c r="AE347" s="188">
        <f t="shared" si="111"/>
        <v>0</v>
      </c>
      <c r="AF347" s="188">
        <f t="shared" si="112"/>
        <v>0.51319444444379769</v>
      </c>
      <c r="AG347" s="188">
        <f t="shared" si="113"/>
        <v>0</v>
      </c>
    </row>
    <row r="348" spans="2:33" ht="15" customHeight="1" x14ac:dyDescent="0.15">
      <c r="B348" s="174" t="s">
        <v>5</v>
      </c>
      <c r="C348" s="175" t="s">
        <v>15</v>
      </c>
      <c r="D348" s="176" t="str">
        <f t="shared" si="95"/>
        <v>C</v>
      </c>
      <c r="E348" s="177" t="d">
        <v>2021-08-02T10:15:00.00000020954757600</v>
      </c>
      <c r="F348" s="178" t="s">
        <v>80</v>
      </c>
      <c r="G348" s="179">
        <v>15694.77</v>
      </c>
      <c r="H348" s="179">
        <v>15642.3</v>
      </c>
      <c r="I348" s="180">
        <f t="shared" si="96"/>
        <v>52.470000000001164</v>
      </c>
      <c r="J348" s="179">
        <v>16079.57</v>
      </c>
      <c r="K348" s="177" t="d">
        <v>2021-08-02T10:48:59.99999994412064550</v>
      </c>
      <c r="L348" s="179">
        <v>15642.3</v>
      </c>
      <c r="M348" s="181">
        <f t="shared" si="97"/>
        <v>-52.47</v>
      </c>
      <c r="N348" s="182">
        <f t="shared" si="98"/>
        <v>-1</v>
      </c>
      <c r="O348" s="183">
        <f t="shared" si="99"/>
        <v>0</v>
      </c>
      <c r="P348" s="184">
        <f t="shared" si="100"/>
        <v>0</v>
      </c>
      <c r="Q348" s="184">
        <f t="shared" si="101"/>
        <v>-1</v>
      </c>
      <c r="R34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45872.5</v>
      </c>
      <c r="T34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48" s="186">
        <f ca="1">IF(Tabla33610673[[#This Row],[Equity]]&lt;Tabla33610673[[#This Row],[Equity Peak]],(Tabla33610673[[#This Row],[Equity Peak]]-Tabla33610673[[#This Row],[Equity]])/Tabla33610673[[#This Row],[Equity Peak]],"")</f>
        <v>3.2174692758056858E-2</v>
      </c>
      <c r="V348" s="187">
        <f t="shared" si="102"/>
        <v>0</v>
      </c>
      <c r="W348" s="187">
        <f t="shared" si="103"/>
        <v>0</v>
      </c>
      <c r="X348" s="187">
        <f t="shared" si="104"/>
        <v>0</v>
      </c>
      <c r="Y348" s="187">
        <f t="shared" si="105"/>
        <v>0</v>
      </c>
      <c r="Z348" s="187">
        <f t="shared" si="106"/>
        <v>-1</v>
      </c>
      <c r="AA348" s="183">
        <f t="shared" si="107"/>
        <v>0</v>
      </c>
      <c r="AB348" s="187">
        <f t="shared" si="108"/>
        <v>0</v>
      </c>
      <c r="AC348" s="183">
        <f t="shared" si="109"/>
        <v>0</v>
      </c>
      <c r="AD348" s="188">
        <f t="shared" si="110"/>
        <v>2.361111110803904E-2</v>
      </c>
      <c r="AE348" s="188">
        <f t="shared" si="111"/>
        <v>0</v>
      </c>
      <c r="AF348" s="188">
        <f t="shared" si="112"/>
        <v>2.361111110803904E-2</v>
      </c>
      <c r="AG348" s="188">
        <f t="shared" si="113"/>
        <v>0</v>
      </c>
    </row>
    <row r="349" spans="2:33" ht="15" customHeight="1" x14ac:dyDescent="0.15">
      <c r="B349" s="174" t="s">
        <v>5</v>
      </c>
      <c r="C349" s="175" t="s">
        <v>15</v>
      </c>
      <c r="D349" s="176" t="str">
        <f t="shared" si="95"/>
        <v>C</v>
      </c>
      <c r="E349" s="177" t="d">
        <v>2021-07-30T17:00:00.00000020954757600</v>
      </c>
      <c r="F349" s="178" t="s">
        <v>82</v>
      </c>
      <c r="G349" s="179">
        <v>4405.96</v>
      </c>
      <c r="H349" s="179">
        <v>4390.18</v>
      </c>
      <c r="I349" s="180">
        <f t="shared" si="96"/>
        <v>15.779999999999745</v>
      </c>
      <c r="J349" s="179">
        <v>4508.5200000000004</v>
      </c>
      <c r="K349" s="177" t="d">
        <v>2021-07-30T18:00:00.000</v>
      </c>
      <c r="L349" s="179">
        <v>4394.4399999999996</v>
      </c>
      <c r="M349" s="181">
        <f t="shared" si="97"/>
        <v>-11.52</v>
      </c>
      <c r="N349" s="182">
        <f t="shared" si="98"/>
        <v>-0.73</v>
      </c>
      <c r="O349" s="183">
        <f t="shared" si="99"/>
        <v>0</v>
      </c>
      <c r="P349" s="184">
        <f t="shared" si="100"/>
        <v>0</v>
      </c>
      <c r="Q349" s="184">
        <f t="shared" si="101"/>
        <v>-0.73</v>
      </c>
      <c r="R34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46122.5</v>
      </c>
      <c r="T34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49" s="186">
        <f ca="1">IF(Tabla33610673[[#This Row],[Equity]]&lt;Tabla33610673[[#This Row],[Equity Peak]],(Tabla33610673[[#This Row],[Equity Peak]]-Tabla33610673[[#This Row],[Equity]])/Tabla33610673[[#This Row],[Equity Peak]],"")</f>
        <v>2.6900152961654097E-2</v>
      </c>
      <c r="V349" s="187">
        <f t="shared" si="102"/>
        <v>0</v>
      </c>
      <c r="W349" s="187">
        <f t="shared" si="103"/>
        <v>0</v>
      </c>
      <c r="X349" s="187">
        <f t="shared" si="104"/>
        <v>0</v>
      </c>
      <c r="Y349" s="187">
        <f t="shared" si="105"/>
        <v>0</v>
      </c>
      <c r="Z349" s="187">
        <f t="shared" si="106"/>
        <v>-0.73</v>
      </c>
      <c r="AA349" s="183">
        <f t="shared" si="107"/>
        <v>0</v>
      </c>
      <c r="AB349" s="187">
        <f t="shared" si="108"/>
        <v>0</v>
      </c>
      <c r="AC349" s="183">
        <f t="shared" si="109"/>
        <v>0</v>
      </c>
      <c r="AD349" s="188">
        <f t="shared" si="110"/>
        <v>4.1666666664241347E-2</v>
      </c>
      <c r="AE349" s="188">
        <f t="shared" si="111"/>
        <v>0</v>
      </c>
      <c r="AF349" s="188">
        <f t="shared" si="112"/>
        <v>4.1666666664241347E-2</v>
      </c>
      <c r="AG349" s="188">
        <f t="shared" si="113"/>
        <v>0</v>
      </c>
    </row>
    <row r="350" spans="2:33" ht="15" customHeight="1" x14ac:dyDescent="0.15">
      <c r="B350" s="174" t="s">
        <v>5</v>
      </c>
      <c r="C350" s="175" t="s">
        <v>13</v>
      </c>
      <c r="D350" s="176" t="str">
        <f t="shared" si="95"/>
        <v>C</v>
      </c>
      <c r="E350" s="177" t="d">
        <v>2021-07-30T03:59:59.99999979045242400</v>
      </c>
      <c r="F350" s="178" t="s">
        <v>82</v>
      </c>
      <c r="G350" s="179">
        <v>4385.91</v>
      </c>
      <c r="H350" s="179">
        <v>4401.33</v>
      </c>
      <c r="I350" s="180">
        <f t="shared" si="96"/>
        <v>15.420000000000073</v>
      </c>
      <c r="J350" s="179">
        <v>4285.67</v>
      </c>
      <c r="K350" s="177" t="d">
        <v>2021-07-30T11:36:59.99999990221113300</v>
      </c>
      <c r="L350" s="179">
        <v>4393.3</v>
      </c>
      <c r="M350" s="181">
        <f t="shared" si="97"/>
        <v>-7.39</v>
      </c>
      <c r="N350" s="182">
        <f t="shared" si="98"/>
        <v>-0.48</v>
      </c>
      <c r="O350" s="183">
        <f t="shared" si="99"/>
        <v>0</v>
      </c>
      <c r="P350" s="184">
        <f t="shared" si="100"/>
        <v>0</v>
      </c>
      <c r="Q350" s="184">
        <f t="shared" si="101"/>
        <v>-0.48</v>
      </c>
      <c r="R35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46305</v>
      </c>
      <c r="T35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50" s="186">
        <f ca="1">IF(Tabla33610673[[#This Row],[Equity]]&lt;Tabla33610673[[#This Row],[Equity Peak]],(Tabla33610673[[#This Row],[Equity Peak]]-Tabla33610673[[#This Row],[Equity]])/Tabla33610673[[#This Row],[Equity Peak]],"")</f>
        <v>2.3049738910280077E-2</v>
      </c>
      <c r="V350" s="187">
        <f t="shared" si="102"/>
        <v>0</v>
      </c>
      <c r="W350" s="187">
        <f t="shared" si="103"/>
        <v>0</v>
      </c>
      <c r="X350" s="187">
        <f t="shared" si="104"/>
        <v>0</v>
      </c>
      <c r="Y350" s="187">
        <f t="shared" si="105"/>
        <v>0</v>
      </c>
      <c r="Z350" s="187">
        <f t="shared" si="106"/>
        <v>-0.48</v>
      </c>
      <c r="AA350" s="183">
        <f t="shared" si="107"/>
        <v>0</v>
      </c>
      <c r="AB350" s="187">
        <f t="shared" si="108"/>
        <v>0</v>
      </c>
      <c r="AC350" s="183">
        <f t="shared" si="109"/>
        <v>0</v>
      </c>
      <c r="AD350" s="188">
        <f t="shared" si="110"/>
        <v>0.31736111111240461</v>
      </c>
      <c r="AE350" s="188">
        <f t="shared" si="111"/>
        <v>0</v>
      </c>
      <c r="AF350" s="188">
        <f t="shared" si="112"/>
        <v>0.31736111111240461</v>
      </c>
      <c r="AG350" s="188">
        <f t="shared" si="113"/>
        <v>0</v>
      </c>
    </row>
    <row r="351" spans="2:33" ht="15" customHeight="1" x14ac:dyDescent="0.15">
      <c r="B351" s="174" t="s">
        <v>5</v>
      </c>
      <c r="C351" s="175" t="s">
        <v>15</v>
      </c>
      <c r="D351" s="176" t="str">
        <f t="shared" si="95"/>
        <v>C</v>
      </c>
      <c r="E351" s="177" t="d">
        <v>2021-07-29T15:14:59.99999979045242400</v>
      </c>
      <c r="F351" s="178" t="s">
        <v>82</v>
      </c>
      <c r="G351" s="179">
        <v>4410.74</v>
      </c>
      <c r="H351" s="179">
        <v>4396.37</v>
      </c>
      <c r="I351" s="180">
        <f t="shared" si="96"/>
        <v>14.369999999999891</v>
      </c>
      <c r="J351" s="179">
        <v>4504.12</v>
      </c>
      <c r="K351" s="177" t="d">
        <v>2021-07-29T23:09:00.00000008381903175</v>
      </c>
      <c r="L351" s="179">
        <v>4414.18</v>
      </c>
      <c r="M351" s="181">
        <f t="shared" si="97"/>
        <v>3.44</v>
      </c>
      <c r="N351" s="182">
        <f t="shared" si="98"/>
        <v>0.24</v>
      </c>
      <c r="O351" s="183">
        <f t="shared" si="99"/>
        <v>0</v>
      </c>
      <c r="P351" s="184">
        <f t="shared" si="100"/>
        <v>0.24</v>
      </c>
      <c r="Q351" s="184">
        <f t="shared" si="101"/>
        <v>0</v>
      </c>
      <c r="R35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46425</v>
      </c>
      <c r="T35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51" s="186">
        <f ca="1">IF(Tabla33610673[[#This Row],[Equity]]&lt;Tabla33610673[[#This Row],[Equity Peak]],(Tabla33610673[[#This Row],[Equity Peak]]-Tabla33610673[[#This Row],[Equity]])/Tabla33610673[[#This Row],[Equity Peak]],"")</f>
        <v>2.0517959808006751E-2</v>
      </c>
      <c r="V351" s="187">
        <f t="shared" si="102"/>
        <v>0</v>
      </c>
      <c r="W351" s="187">
        <f t="shared" si="103"/>
        <v>0</v>
      </c>
      <c r="X351" s="187">
        <f t="shared" si="104"/>
        <v>0</v>
      </c>
      <c r="Y351" s="187">
        <f t="shared" si="105"/>
        <v>0</v>
      </c>
      <c r="Z351" s="187">
        <f t="shared" si="106"/>
        <v>0.24</v>
      </c>
      <c r="AA351" s="183">
        <f t="shared" si="107"/>
        <v>0</v>
      </c>
      <c r="AB351" s="187">
        <f t="shared" si="108"/>
        <v>0</v>
      </c>
      <c r="AC351" s="183">
        <f t="shared" si="109"/>
        <v>0</v>
      </c>
      <c r="AD351" s="188">
        <f t="shared" si="110"/>
        <v>0.32916666667006211</v>
      </c>
      <c r="AE351" s="188">
        <f t="shared" si="111"/>
        <v>0.32916666667006211</v>
      </c>
      <c r="AF351" s="188">
        <f t="shared" si="112"/>
        <v>0</v>
      </c>
      <c r="AG351" s="188">
        <f t="shared" si="113"/>
        <v>0</v>
      </c>
    </row>
    <row r="352" spans="2:33" ht="15" customHeight="1" x14ac:dyDescent="0.15">
      <c r="B352" s="174" t="s">
        <v>7</v>
      </c>
      <c r="C352" s="175" t="s">
        <v>15</v>
      </c>
      <c r="D352" s="176" t="str">
        <f t="shared" si="95"/>
        <v>C</v>
      </c>
      <c r="E352" s="177" t="d">
        <v>2021-07-28T12:00:00.000</v>
      </c>
      <c r="F352" s="178" t="s">
        <v>102</v>
      </c>
      <c r="G352" s="179">
        <v>152.74600000000001</v>
      </c>
      <c r="H352" s="179">
        <v>152.40100000000001</v>
      </c>
      <c r="I352" s="180">
        <f t="shared" si="96"/>
        <v>0.34499999999999886</v>
      </c>
      <c r="J352" s="179">
        <v>154.58799999999999</v>
      </c>
      <c r="K352" s="177" t="d">
        <v>2021-07-29T18:21:59.99999990221113300</v>
      </c>
      <c r="L352" s="179">
        <v>152.99700000000001</v>
      </c>
      <c r="M352" s="181">
        <f t="shared" si="97"/>
        <v>0.251</v>
      </c>
      <c r="N352" s="182">
        <f t="shared" si="98"/>
        <v>0.73</v>
      </c>
      <c r="O352" s="183">
        <f t="shared" si="99"/>
        <v>0</v>
      </c>
      <c r="P352" s="184">
        <f t="shared" si="100"/>
        <v>0.73</v>
      </c>
      <c r="Q352" s="184">
        <f t="shared" si="101"/>
        <v>0</v>
      </c>
      <c r="R35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46365</v>
      </c>
      <c r="T35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52" s="186">
        <f ca="1">IF(Tabla33610673[[#This Row],[Equity]]&lt;Tabla33610673[[#This Row],[Equity Peak]],(Tabla33610673[[#This Row],[Equity Peak]]-Tabla33610673[[#This Row],[Equity]])/Tabla33610673[[#This Row],[Equity Peak]],"")</f>
        <v>2.1783849359143414E-2</v>
      </c>
      <c r="V352" s="187">
        <f t="shared" si="102"/>
        <v>0.73</v>
      </c>
      <c r="W352" s="187">
        <f t="shared" si="103"/>
        <v>0</v>
      </c>
      <c r="X352" s="187">
        <f t="shared" si="104"/>
        <v>0</v>
      </c>
      <c r="Y352" s="187">
        <f t="shared" si="105"/>
        <v>0</v>
      </c>
      <c r="Z352" s="187">
        <f t="shared" si="106"/>
        <v>0</v>
      </c>
      <c r="AA352" s="183">
        <f t="shared" si="107"/>
        <v>0</v>
      </c>
      <c r="AB352" s="187">
        <f t="shared" si="108"/>
        <v>0</v>
      </c>
      <c r="AC352" s="183">
        <f t="shared" si="109"/>
        <v>0</v>
      </c>
      <c r="AD352" s="188">
        <f t="shared" si="110"/>
        <v>1.265277777776646</v>
      </c>
      <c r="AE352" s="188">
        <f t="shared" si="111"/>
        <v>1.265277777776646</v>
      </c>
      <c r="AF352" s="188">
        <f t="shared" si="112"/>
        <v>0</v>
      </c>
      <c r="AG352" s="188">
        <f t="shared" si="113"/>
        <v>0</v>
      </c>
    </row>
    <row r="353" spans="2:33" ht="15" customHeight="1" x14ac:dyDescent="0.15">
      <c r="B353" s="174" t="s">
        <v>19</v>
      </c>
      <c r="C353" s="175" t="s">
        <v>15</v>
      </c>
      <c r="D353" s="176" t="str">
        <f t="shared" si="95"/>
        <v>C</v>
      </c>
      <c r="E353" s="177" t="d">
        <v>2021-07-28T22:44:59.99999979045242400</v>
      </c>
      <c r="F353" s="178" t="s">
        <v>77</v>
      </c>
      <c r="G353" s="179">
        <v>1807.41</v>
      </c>
      <c r="H353" s="179">
        <v>1802.94</v>
      </c>
      <c r="I353" s="180">
        <f t="shared" si="96"/>
        <v>4.4700000000000273</v>
      </c>
      <c r="J353" s="179">
        <v>1828.87</v>
      </c>
      <c r="K353" s="177" t="d">
        <v>2021-07-29T18:08:59.99999987427145575</v>
      </c>
      <c r="L353" s="179">
        <v>1828.87</v>
      </c>
      <c r="M353" s="181">
        <f t="shared" si="97"/>
        <v>21.46</v>
      </c>
      <c r="N353" s="182">
        <f t="shared" si="98"/>
        <v>4.8</v>
      </c>
      <c r="O353" s="183">
        <f t="shared" si="99"/>
        <v>0</v>
      </c>
      <c r="P353" s="184">
        <f t="shared" si="100"/>
        <v>4.8</v>
      </c>
      <c r="Q353" s="184">
        <f t="shared" si="101"/>
        <v>0</v>
      </c>
      <c r="R35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46182.5</v>
      </c>
      <c r="T35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53" s="186">
        <f ca="1">IF(Tabla33610673[[#This Row],[Equity]]&lt;Tabla33610673[[#This Row],[Equity Peak]],(Tabla33610673[[#This Row],[Equity Peak]]-Tabla33610673[[#This Row],[Equity]])/Tabla33610673[[#This Row],[Equity Peak]],"")</f>
        <v>2.5634263410517433E-2</v>
      </c>
      <c r="V353" s="187">
        <f t="shared" si="102"/>
        <v>0</v>
      </c>
      <c r="W353" s="187">
        <f t="shared" si="103"/>
        <v>0</v>
      </c>
      <c r="X353" s="187">
        <f t="shared" si="104"/>
        <v>4.8</v>
      </c>
      <c r="Y353" s="187">
        <f t="shared" si="105"/>
        <v>0</v>
      </c>
      <c r="Z353" s="187">
        <f t="shared" si="106"/>
        <v>0</v>
      </c>
      <c r="AA353" s="183">
        <f t="shared" si="107"/>
        <v>0</v>
      </c>
      <c r="AB353" s="187">
        <f t="shared" si="108"/>
        <v>0</v>
      </c>
      <c r="AC353" s="183">
        <f t="shared" si="109"/>
        <v>0</v>
      </c>
      <c r="AD353" s="188">
        <f t="shared" si="110"/>
        <v>0.80833333333430346</v>
      </c>
      <c r="AE353" s="188">
        <f t="shared" si="111"/>
        <v>0.80833333333430346</v>
      </c>
      <c r="AF353" s="188">
        <f t="shared" si="112"/>
        <v>0</v>
      </c>
      <c r="AG353" s="188">
        <f t="shared" si="113"/>
        <v>0</v>
      </c>
    </row>
    <row r="354" spans="2:33" ht="15" customHeight="1" x14ac:dyDescent="0.15">
      <c r="B354" s="174" t="s">
        <v>5</v>
      </c>
      <c r="C354" s="175" t="s">
        <v>15</v>
      </c>
      <c r="D354" s="176" t="str">
        <f t="shared" si="95"/>
        <v>C</v>
      </c>
      <c r="E354" s="177" t="d">
        <v>2021-07-28T12:00:00.000</v>
      </c>
      <c r="F354" s="178" t="s">
        <v>82</v>
      </c>
      <c r="G354" s="179">
        <v>4412.29</v>
      </c>
      <c r="H354" s="179">
        <v>4398.8100000000004</v>
      </c>
      <c r="I354" s="180">
        <f t="shared" si="96"/>
        <v>13.479999999999563</v>
      </c>
      <c r="J354" s="179">
        <v>4499.91</v>
      </c>
      <c r="K354" s="177" t="d">
        <v>2021-07-28T16:38:59.99999987427145575</v>
      </c>
      <c r="L354" s="179">
        <v>4398.8100000000004</v>
      </c>
      <c r="M354" s="181">
        <f t="shared" si="97"/>
        <v>-13.48</v>
      </c>
      <c r="N354" s="182">
        <f t="shared" si="98"/>
        <v>-1</v>
      </c>
      <c r="O354" s="183">
        <f t="shared" si="99"/>
        <v>0</v>
      </c>
      <c r="P354" s="184">
        <f t="shared" si="100"/>
        <v>0</v>
      </c>
      <c r="Q354" s="184">
        <f t="shared" si="101"/>
        <v>-1</v>
      </c>
      <c r="R35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44982.5</v>
      </c>
      <c r="T35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54" s="186">
        <f ca="1">IF(Tabla33610673[[#This Row],[Equity]]&lt;Tabla33610673[[#This Row],[Equity Peak]],(Tabla33610673[[#This Row],[Equity Peak]]-Tabla33610673[[#This Row],[Equity]])/Tabla33610673[[#This Row],[Equity Peak]],"")</f>
        <v>5.0952054433250696E-2</v>
      </c>
      <c r="V354" s="187">
        <f t="shared" si="102"/>
        <v>0</v>
      </c>
      <c r="W354" s="187">
        <f t="shared" si="103"/>
        <v>0</v>
      </c>
      <c r="X354" s="187">
        <f t="shared" si="104"/>
        <v>0</v>
      </c>
      <c r="Y354" s="187">
        <f t="shared" si="105"/>
        <v>0</v>
      </c>
      <c r="Z354" s="187">
        <f t="shared" si="106"/>
        <v>-1</v>
      </c>
      <c r="AA354" s="183">
        <f t="shared" si="107"/>
        <v>0</v>
      </c>
      <c r="AB354" s="187">
        <f t="shared" si="108"/>
        <v>0</v>
      </c>
      <c r="AC354" s="183">
        <f t="shared" si="109"/>
        <v>0</v>
      </c>
      <c r="AD354" s="188">
        <f t="shared" si="110"/>
        <v>0.19374999999854481</v>
      </c>
      <c r="AE354" s="188">
        <f t="shared" si="111"/>
        <v>0</v>
      </c>
      <c r="AF354" s="188">
        <f t="shared" si="112"/>
        <v>0.19374999999854481</v>
      </c>
      <c r="AG354" s="188">
        <f t="shared" si="113"/>
        <v>0</v>
      </c>
    </row>
    <row r="355" spans="2:33" ht="15" customHeight="1" x14ac:dyDescent="0.15">
      <c r="B355" s="174" t="s">
        <v>19</v>
      </c>
      <c r="C355" s="175" t="s">
        <v>15</v>
      </c>
      <c r="D355" s="176" t="str">
        <f t="shared" si="95"/>
        <v>C</v>
      </c>
      <c r="E355" s="177" t="d">
        <v>2021-07-28T06:14:59.99999979045242400</v>
      </c>
      <c r="F355" s="178" t="s">
        <v>77</v>
      </c>
      <c r="G355" s="179">
        <v>1806.97</v>
      </c>
      <c r="H355" s="179">
        <v>1802.62</v>
      </c>
      <c r="I355" s="180">
        <f t="shared" si="96"/>
        <v>4.3500000000001364</v>
      </c>
      <c r="J355" s="179">
        <v>1827.84</v>
      </c>
      <c r="K355" s="177" t="d">
        <v>2021-07-28T10:54:00.00000029336660775</v>
      </c>
      <c r="L355" s="179">
        <v>1802.62</v>
      </c>
      <c r="M355" s="181">
        <f t="shared" si="97"/>
        <v>-4.3499999999999996</v>
      </c>
      <c r="N355" s="182">
        <f t="shared" si="98"/>
        <v>-1</v>
      </c>
      <c r="O355" s="183">
        <f t="shared" si="99"/>
        <v>0</v>
      </c>
      <c r="P355" s="184">
        <f t="shared" si="100"/>
        <v>0</v>
      </c>
      <c r="Q355" s="184">
        <f t="shared" si="101"/>
        <v>-1</v>
      </c>
      <c r="R35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45232.5</v>
      </c>
      <c r="T35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55" s="186">
        <f ca="1">IF(Tabla33610673[[#This Row],[Equity]]&lt;Tabla33610673[[#This Row],[Equity Peak]],(Tabla33610673[[#This Row],[Equity Peak]]-Tabla33610673[[#This Row],[Equity]])/Tabla33610673[[#This Row],[Equity Peak]],"")</f>
        <v>4.5677514636847938E-2</v>
      </c>
      <c r="V355" s="187">
        <f t="shared" si="102"/>
        <v>0</v>
      </c>
      <c r="W355" s="187">
        <f t="shared" si="103"/>
        <v>0</v>
      </c>
      <c r="X355" s="187">
        <f t="shared" si="104"/>
        <v>-1</v>
      </c>
      <c r="Y355" s="187">
        <f t="shared" si="105"/>
        <v>0</v>
      </c>
      <c r="Z355" s="187">
        <f t="shared" si="106"/>
        <v>0</v>
      </c>
      <c r="AA355" s="183">
        <f t="shared" si="107"/>
        <v>0</v>
      </c>
      <c r="AB355" s="187">
        <f t="shared" si="108"/>
        <v>0</v>
      </c>
      <c r="AC355" s="183">
        <f t="shared" si="109"/>
        <v>0</v>
      </c>
      <c r="AD355" s="188">
        <f t="shared" si="110"/>
        <v>0.19375000000582077</v>
      </c>
      <c r="AE355" s="188">
        <f t="shared" si="111"/>
        <v>0</v>
      </c>
      <c r="AF355" s="188">
        <f t="shared" si="112"/>
        <v>0.19375000000582077</v>
      </c>
      <c r="AG355" s="188">
        <f t="shared" si="113"/>
        <v>0</v>
      </c>
    </row>
    <row r="356" spans="2:33" ht="15" customHeight="1" x14ac:dyDescent="0.15">
      <c r="B356" s="174" t="s">
        <v>19</v>
      </c>
      <c r="C356" s="175" t="s">
        <v>15</v>
      </c>
      <c r="D356" s="176" t="str">
        <f t="shared" si="95"/>
        <v>C</v>
      </c>
      <c r="E356" s="177" t="d">
        <v>2021-07-27T15:14:59.99999979045242400</v>
      </c>
      <c r="F356" s="178" t="s">
        <v>77</v>
      </c>
      <c r="G356" s="179">
        <v>1802.83</v>
      </c>
      <c r="H356" s="179">
        <v>1798.27</v>
      </c>
      <c r="I356" s="180">
        <f t="shared" si="96"/>
        <v>4.5599999999999454</v>
      </c>
      <c r="J356" s="179">
        <v>1824.72</v>
      </c>
      <c r="K356" s="177" t="d">
        <v>2021-07-27T17:23:59.99999987427145575</v>
      </c>
      <c r="L356" s="179">
        <v>1798.27</v>
      </c>
      <c r="M356" s="181">
        <f t="shared" si="97"/>
        <v>-4.5599999999999996</v>
      </c>
      <c r="N356" s="182">
        <f t="shared" si="98"/>
        <v>-1</v>
      </c>
      <c r="O356" s="183">
        <f t="shared" si="99"/>
        <v>0</v>
      </c>
      <c r="P356" s="184">
        <f t="shared" si="100"/>
        <v>0</v>
      </c>
      <c r="Q356" s="184">
        <f t="shared" si="101"/>
        <v>-1</v>
      </c>
      <c r="R35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45482.5</v>
      </c>
      <c r="T35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56" s="186">
        <f ca="1">IF(Tabla33610673[[#This Row],[Equity]]&lt;Tabla33610673[[#This Row],[Equity Peak]],(Tabla33610673[[#This Row],[Equity Peak]]-Tabla33610673[[#This Row],[Equity]])/Tabla33610673[[#This Row],[Equity Peak]],"")</f>
        <v>4.0402974840445173E-2</v>
      </c>
      <c r="V356" s="187">
        <f t="shared" si="102"/>
        <v>0</v>
      </c>
      <c r="W356" s="187">
        <f t="shared" si="103"/>
        <v>0</v>
      </c>
      <c r="X356" s="187">
        <f t="shared" si="104"/>
        <v>-1</v>
      </c>
      <c r="Y356" s="187">
        <f t="shared" si="105"/>
        <v>0</v>
      </c>
      <c r="Z356" s="187">
        <f t="shared" si="106"/>
        <v>0</v>
      </c>
      <c r="AA356" s="183">
        <f t="shared" si="107"/>
        <v>0</v>
      </c>
      <c r="AB356" s="187">
        <f t="shared" si="108"/>
        <v>0</v>
      </c>
      <c r="AC356" s="183">
        <f t="shared" si="109"/>
        <v>0</v>
      </c>
      <c r="AD356" s="188">
        <f t="shared" si="110"/>
        <v>8.9583333334303461E-2</v>
      </c>
      <c r="AE356" s="188">
        <f t="shared" si="111"/>
        <v>0</v>
      </c>
      <c r="AF356" s="188">
        <f t="shared" si="112"/>
        <v>8.9583333334303461E-2</v>
      </c>
      <c r="AG356" s="188">
        <f t="shared" si="113"/>
        <v>0</v>
      </c>
    </row>
    <row r="357" spans="2:33" ht="15" customHeight="1" x14ac:dyDescent="0.15">
      <c r="B357" s="174" t="s">
        <v>19</v>
      </c>
      <c r="C357" s="175" t="s">
        <v>15</v>
      </c>
      <c r="D357" s="176" t="str">
        <f t="shared" si="95"/>
        <v>C</v>
      </c>
      <c r="E357" s="177" t="d">
        <v>2021-07-27T10:44:59.99999979045242400</v>
      </c>
      <c r="F357" s="178" t="s">
        <v>77</v>
      </c>
      <c r="G357" s="179">
        <v>1800.09</v>
      </c>
      <c r="H357" s="179">
        <v>1795.58</v>
      </c>
      <c r="I357" s="180">
        <f t="shared" si="96"/>
        <v>4.5099999999999909</v>
      </c>
      <c r="J357" s="179">
        <v>1821.72</v>
      </c>
      <c r="K357" s="177" t="d">
        <v>2021-07-27T11:09:00.00000008381903175</v>
      </c>
      <c r="L357" s="179">
        <v>1795.58</v>
      </c>
      <c r="M357" s="181">
        <f t="shared" si="97"/>
        <v>-4.51</v>
      </c>
      <c r="N357" s="182">
        <f t="shared" si="98"/>
        <v>-1</v>
      </c>
      <c r="O357" s="183">
        <f t="shared" si="99"/>
        <v>0</v>
      </c>
      <c r="P357" s="184">
        <f t="shared" si="100"/>
        <v>0</v>
      </c>
      <c r="Q357" s="184">
        <f t="shared" si="101"/>
        <v>-1</v>
      </c>
      <c r="R35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45732.5</v>
      </c>
      <c r="T35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57" s="186">
        <f ca="1">IF(Tabla33610673[[#This Row],[Equity]]&lt;Tabla33610673[[#This Row],[Equity Peak]],(Tabla33610673[[#This Row],[Equity Peak]]-Tabla33610673[[#This Row],[Equity]])/Tabla33610673[[#This Row],[Equity Peak]],"")</f>
        <v>3.5128435044042408E-2</v>
      </c>
      <c r="V357" s="187">
        <f t="shared" si="102"/>
        <v>0</v>
      </c>
      <c r="W357" s="187">
        <f t="shared" si="103"/>
        <v>0</v>
      </c>
      <c r="X357" s="187">
        <f t="shared" si="104"/>
        <v>-1</v>
      </c>
      <c r="Y357" s="187">
        <f t="shared" si="105"/>
        <v>0</v>
      </c>
      <c r="Z357" s="187">
        <f t="shared" si="106"/>
        <v>0</v>
      </c>
      <c r="AA357" s="183">
        <f t="shared" si="107"/>
        <v>0</v>
      </c>
      <c r="AB357" s="187">
        <f t="shared" si="108"/>
        <v>0</v>
      </c>
      <c r="AC357" s="183">
        <f t="shared" si="109"/>
        <v>0</v>
      </c>
      <c r="AD357" s="188">
        <f t="shared" si="110"/>
        <v>1.6666666670062114E-2</v>
      </c>
      <c r="AE357" s="188">
        <f t="shared" si="111"/>
        <v>0</v>
      </c>
      <c r="AF357" s="188">
        <f t="shared" si="112"/>
        <v>1.6666666670062114E-2</v>
      </c>
      <c r="AG357" s="188">
        <f t="shared" si="113"/>
        <v>0</v>
      </c>
    </row>
    <row r="358" spans="2:33" ht="15" customHeight="1" x14ac:dyDescent="0.15">
      <c r="B358" s="174" t="s">
        <v>7</v>
      </c>
      <c r="C358" s="175" t="s">
        <v>15</v>
      </c>
      <c r="D358" s="176" t="str">
        <f t="shared" si="95"/>
        <v>C</v>
      </c>
      <c r="E358" s="177" t="d">
        <v>2021-07-26T16:44:59.99999979045242400</v>
      </c>
      <c r="F358" s="178" t="s">
        <v>102</v>
      </c>
      <c r="G358" s="179">
        <v>152.39500000000001</v>
      </c>
      <c r="H358" s="179">
        <v>152.07</v>
      </c>
      <c r="I358" s="180">
        <f t="shared" si="96"/>
        <v>0.32500000000001705</v>
      </c>
      <c r="J358" s="179">
        <v>154.126</v>
      </c>
      <c r="K358" s="177" t="d">
        <v>2021-07-27T09:08:59.99999987427145575</v>
      </c>
      <c r="L358" s="179">
        <v>152.196</v>
      </c>
      <c r="M358" s="181">
        <f t="shared" si="97"/>
        <v>-0.19900000000000001</v>
      </c>
      <c r="N358" s="182">
        <f t="shared" si="98"/>
        <v>-0.61</v>
      </c>
      <c r="O358" s="183">
        <f t="shared" si="99"/>
        <v>0</v>
      </c>
      <c r="P358" s="184">
        <f t="shared" si="100"/>
        <v>0</v>
      </c>
      <c r="Q358" s="184">
        <f t="shared" si="101"/>
        <v>-0.61</v>
      </c>
      <c r="R35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45982.5</v>
      </c>
      <c r="T35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58" s="186">
        <f ca="1">IF(Tabla33610673[[#This Row],[Equity]]&lt;Tabla33610673[[#This Row],[Equity Peak]],(Tabla33610673[[#This Row],[Equity Peak]]-Tabla33610673[[#This Row],[Equity]])/Tabla33610673[[#This Row],[Equity Peak]],"")</f>
        <v>2.9853895247639643E-2</v>
      </c>
      <c r="V358" s="187">
        <f t="shared" si="102"/>
        <v>-0.61</v>
      </c>
      <c r="W358" s="187">
        <f t="shared" si="103"/>
        <v>0</v>
      </c>
      <c r="X358" s="187">
        <f t="shared" si="104"/>
        <v>0</v>
      </c>
      <c r="Y358" s="187">
        <f t="shared" si="105"/>
        <v>0</v>
      </c>
      <c r="Z358" s="187">
        <f t="shared" si="106"/>
        <v>0</v>
      </c>
      <c r="AA358" s="183">
        <f t="shared" si="107"/>
        <v>0</v>
      </c>
      <c r="AB358" s="187">
        <f t="shared" si="108"/>
        <v>0</v>
      </c>
      <c r="AC358" s="183">
        <f t="shared" si="109"/>
        <v>0</v>
      </c>
      <c r="AD358" s="188">
        <f t="shared" si="110"/>
        <v>0.68333333333430346</v>
      </c>
      <c r="AE358" s="188">
        <f t="shared" si="111"/>
        <v>0</v>
      </c>
      <c r="AF358" s="188">
        <f t="shared" si="112"/>
        <v>0.68333333333430346</v>
      </c>
      <c r="AG358" s="188">
        <f t="shared" si="113"/>
        <v>0</v>
      </c>
    </row>
    <row r="359" spans="2:33" ht="15" customHeight="1" x14ac:dyDescent="0.15">
      <c r="B359" s="174" t="s">
        <v>19</v>
      </c>
      <c r="C359" s="175" t="s">
        <v>15</v>
      </c>
      <c r="D359" s="176" t="str">
        <f t="shared" si="95"/>
        <v>C</v>
      </c>
      <c r="E359" s="177" t="d">
        <v>2021-07-26T04:44:59.99999979045242400</v>
      </c>
      <c r="F359" s="178" t="s">
        <v>77</v>
      </c>
      <c r="G359" s="179">
        <v>1806.19</v>
      </c>
      <c r="H359" s="179">
        <v>1801.45</v>
      </c>
      <c r="I359" s="180">
        <f t="shared" si="96"/>
        <v>4.7400000000000091</v>
      </c>
      <c r="J359" s="179">
        <v>1828.92</v>
      </c>
      <c r="K359" s="177" t="d">
        <v>2021-07-26T15:39:00.00000008381903175</v>
      </c>
      <c r="L359" s="179">
        <v>1801.6</v>
      </c>
      <c r="M359" s="181">
        <f t="shared" si="97"/>
        <v>-4.59</v>
      </c>
      <c r="N359" s="182">
        <f t="shared" si="98"/>
        <v>-0.97</v>
      </c>
      <c r="O359" s="183">
        <f t="shared" si="99"/>
        <v>0</v>
      </c>
      <c r="P359" s="184">
        <f t="shared" si="100"/>
        <v>0</v>
      </c>
      <c r="Q359" s="184">
        <f t="shared" si="101"/>
        <v>-0.97</v>
      </c>
      <c r="R35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46135</v>
      </c>
      <c r="T35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59" s="186">
        <f ca="1">IF(Tabla33610673[[#This Row],[Equity]]&lt;Tabla33610673[[#This Row],[Equity Peak]],(Tabla33610673[[#This Row],[Equity Peak]]-Tabla33610673[[#This Row],[Equity]])/Tabla33610673[[#This Row],[Equity Peak]],"")</f>
        <v>2.6636425971833959E-2</v>
      </c>
      <c r="V359" s="187">
        <f t="shared" si="102"/>
        <v>0</v>
      </c>
      <c r="W359" s="187">
        <f t="shared" si="103"/>
        <v>0</v>
      </c>
      <c r="X359" s="187">
        <f t="shared" si="104"/>
        <v>-0.97</v>
      </c>
      <c r="Y359" s="187">
        <f t="shared" si="105"/>
        <v>0</v>
      </c>
      <c r="Z359" s="187">
        <f t="shared" si="106"/>
        <v>0</v>
      </c>
      <c r="AA359" s="183">
        <f t="shared" si="107"/>
        <v>0</v>
      </c>
      <c r="AB359" s="187">
        <f t="shared" si="108"/>
        <v>0</v>
      </c>
      <c r="AC359" s="183">
        <f t="shared" si="109"/>
        <v>0</v>
      </c>
      <c r="AD359" s="188">
        <f t="shared" si="110"/>
        <v>0.45416666667006211</v>
      </c>
      <c r="AE359" s="188">
        <f t="shared" si="111"/>
        <v>0</v>
      </c>
      <c r="AF359" s="188">
        <f t="shared" si="112"/>
        <v>0.45416666667006211</v>
      </c>
      <c r="AG359" s="188">
        <f t="shared" si="113"/>
        <v>0</v>
      </c>
    </row>
    <row r="360" spans="2:33" ht="15" customHeight="1" x14ac:dyDescent="0.15">
      <c r="B360" s="174" t="s">
        <v>7</v>
      </c>
      <c r="C360" s="175" t="s">
        <v>15</v>
      </c>
      <c r="D360" s="176" t="str">
        <f t="shared" si="95"/>
        <v>C</v>
      </c>
      <c r="E360" s="177" t="d">
        <v>2021-07-26T12:45:00.000</v>
      </c>
      <c r="F360" s="178" t="s">
        <v>102</v>
      </c>
      <c r="G360" s="179">
        <v>152.21899999999999</v>
      </c>
      <c r="H360" s="179">
        <v>151.92099999999999</v>
      </c>
      <c r="I360" s="180">
        <f t="shared" si="96"/>
        <v>0.29800000000000182</v>
      </c>
      <c r="J360" s="179">
        <v>153.80799999999999</v>
      </c>
      <c r="K360" s="177" t="d">
        <v>2021-07-26T14:16:00.00000019557774075</v>
      </c>
      <c r="L360" s="179">
        <v>151.92099999999999</v>
      </c>
      <c r="M360" s="181">
        <f t="shared" si="97"/>
        <v>-0.29799999999999999</v>
      </c>
      <c r="N360" s="182">
        <f t="shared" si="98"/>
        <v>-1</v>
      </c>
      <c r="O360" s="183">
        <f t="shared" si="99"/>
        <v>0</v>
      </c>
      <c r="P360" s="184">
        <f t="shared" si="100"/>
        <v>0</v>
      </c>
      <c r="Q360" s="184">
        <f t="shared" si="101"/>
        <v>-1</v>
      </c>
      <c r="R36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46377.5</v>
      </c>
      <c r="T36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60" s="186">
        <f ca="1">IF(Tabla33610673[[#This Row],[Equity]]&lt;Tabla33610673[[#This Row],[Equity Peak]],(Tabla33610673[[#This Row],[Equity Peak]]-Tabla33610673[[#This Row],[Equity]])/Tabla33610673[[#This Row],[Equity Peak]],"")</f>
        <v>2.1520122369323276E-2</v>
      </c>
      <c r="V360" s="187">
        <f t="shared" si="102"/>
        <v>-1</v>
      </c>
      <c r="W360" s="187">
        <f t="shared" si="103"/>
        <v>0</v>
      </c>
      <c r="X360" s="187">
        <f t="shared" si="104"/>
        <v>0</v>
      </c>
      <c r="Y360" s="187">
        <f t="shared" si="105"/>
        <v>0</v>
      </c>
      <c r="Z360" s="187">
        <f t="shared" si="106"/>
        <v>0</v>
      </c>
      <c r="AA360" s="183">
        <f t="shared" si="107"/>
        <v>0</v>
      </c>
      <c r="AB360" s="187">
        <f t="shared" si="108"/>
        <v>0</v>
      </c>
      <c r="AC360" s="183">
        <f t="shared" si="109"/>
        <v>0</v>
      </c>
      <c r="AD360" s="188">
        <f t="shared" si="110"/>
        <v>6.3194444446708076E-2</v>
      </c>
      <c r="AE360" s="188">
        <f t="shared" si="111"/>
        <v>0</v>
      </c>
      <c r="AF360" s="188">
        <f t="shared" si="112"/>
        <v>6.3194444446708076E-2</v>
      </c>
      <c r="AG360" s="188">
        <f t="shared" si="113"/>
        <v>0</v>
      </c>
    </row>
    <row r="361" spans="2:33" ht="15" customHeight="1" x14ac:dyDescent="0.15">
      <c r="B361" s="174" t="s">
        <v>5</v>
      </c>
      <c r="C361" s="175" t="s">
        <v>15</v>
      </c>
      <c r="D361" s="176" t="str">
        <f t="shared" si="95"/>
        <v>C</v>
      </c>
      <c r="E361" s="177" t="d">
        <v>2021-07-22T21:59:59.99999979045242400</v>
      </c>
      <c r="F361" s="178" t="s">
        <v>82</v>
      </c>
      <c r="G361" s="179">
        <v>4369.17</v>
      </c>
      <c r="H361" s="179">
        <v>4350.51</v>
      </c>
      <c r="I361" s="180">
        <f t="shared" si="96"/>
        <v>18.659999999999854</v>
      </c>
      <c r="J361" s="179">
        <v>4490.4799999999996</v>
      </c>
      <c r="K361" s="177" t="d">
        <v>2021-07-26T04:09:00.00000029336660775</v>
      </c>
      <c r="L361" s="179">
        <v>4396.04</v>
      </c>
      <c r="M361" s="181">
        <f t="shared" si="97"/>
        <v>26.87</v>
      </c>
      <c r="N361" s="182">
        <f t="shared" si="98"/>
        <v>1.44</v>
      </c>
      <c r="O361" s="183">
        <f t="shared" si="99"/>
        <v>0</v>
      </c>
      <c r="P361" s="184">
        <f t="shared" si="100"/>
        <v>1.44</v>
      </c>
      <c r="Q361" s="184">
        <f t="shared" si="101"/>
        <v>0</v>
      </c>
      <c r="R36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46627.5</v>
      </c>
      <c r="T36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61" s="186">
        <f ca="1">IF(Tabla33610673[[#This Row],[Equity]]&lt;Tabla33610673[[#This Row],[Equity Peak]],(Tabla33610673[[#This Row],[Equity Peak]]-Tabla33610673[[#This Row],[Equity]])/Tabla33610673[[#This Row],[Equity Peak]],"")</f>
        <v>1.6245582572920511E-2</v>
      </c>
      <c r="V361" s="187">
        <f t="shared" si="102"/>
        <v>0</v>
      </c>
      <c r="W361" s="187">
        <f t="shared" si="103"/>
        <v>0</v>
      </c>
      <c r="X361" s="187">
        <f t="shared" si="104"/>
        <v>0</v>
      </c>
      <c r="Y361" s="187">
        <f t="shared" si="105"/>
        <v>0</v>
      </c>
      <c r="Z361" s="187">
        <f t="shared" si="106"/>
        <v>1.44</v>
      </c>
      <c r="AA361" s="183">
        <f t="shared" si="107"/>
        <v>0</v>
      </c>
      <c r="AB361" s="187">
        <f t="shared" si="108"/>
        <v>0</v>
      </c>
      <c r="AC361" s="183">
        <f t="shared" si="109"/>
        <v>0</v>
      </c>
      <c r="AD361" s="188">
        <f t="shared" si="110"/>
        <v>3.2562500000058208</v>
      </c>
      <c r="AE361" s="188">
        <f t="shared" si="111"/>
        <v>3.2562500000058208</v>
      </c>
      <c r="AF361" s="188">
        <f t="shared" si="112"/>
        <v>0</v>
      </c>
      <c r="AG361" s="188">
        <f t="shared" si="113"/>
        <v>0</v>
      </c>
    </row>
    <row r="362" spans="2:33" ht="15" customHeight="1" x14ac:dyDescent="0.15">
      <c r="B362" s="174" t="s">
        <v>7</v>
      </c>
      <c r="C362" s="175" t="s">
        <v>15</v>
      </c>
      <c r="D362" s="176" t="str">
        <f t="shared" si="95"/>
        <v>C</v>
      </c>
      <c r="E362" s="177" t="d">
        <v>2021-07-23T15:14:59.99999979045242400</v>
      </c>
      <c r="F362" s="178" t="s">
        <v>102</v>
      </c>
      <c r="G362" s="179">
        <v>152.102</v>
      </c>
      <c r="H362" s="179">
        <v>151.756</v>
      </c>
      <c r="I362" s="180">
        <f t="shared" si="96"/>
        <v>0.34600000000000364</v>
      </c>
      <c r="J362" s="179">
        <v>153.946</v>
      </c>
      <c r="K362" s="177" t="d">
        <v>2021-07-26T04:05:59.99999970663339225</v>
      </c>
      <c r="L362" s="179">
        <v>151.78100000000001</v>
      </c>
      <c r="M362" s="181">
        <f t="shared" si="97"/>
        <v>-0.32100000000000001</v>
      </c>
      <c r="N362" s="182">
        <f t="shared" si="98"/>
        <v>-0.93</v>
      </c>
      <c r="O362" s="183">
        <f t="shared" si="99"/>
        <v>0</v>
      </c>
      <c r="P362" s="184">
        <f t="shared" si="100"/>
        <v>0</v>
      </c>
      <c r="Q362" s="184">
        <f t="shared" si="101"/>
        <v>-0.93</v>
      </c>
      <c r="R36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46267.5</v>
      </c>
      <c r="T36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62" s="186">
        <f ca="1">IF(Tabla33610673[[#This Row],[Equity]]&lt;Tabla33610673[[#This Row],[Equity Peak]],(Tabla33610673[[#This Row],[Equity Peak]]-Tabla33610673[[#This Row],[Equity]])/Tabla33610673[[#This Row],[Equity Peak]],"")</f>
        <v>2.3840919879740494E-2</v>
      </c>
      <c r="V362" s="187">
        <f t="shared" si="102"/>
        <v>-0.93</v>
      </c>
      <c r="W362" s="187">
        <f t="shared" si="103"/>
        <v>0</v>
      </c>
      <c r="X362" s="187">
        <f t="shared" si="104"/>
        <v>0</v>
      </c>
      <c r="Y362" s="187">
        <f t="shared" si="105"/>
        <v>0</v>
      </c>
      <c r="Z362" s="187">
        <f t="shared" si="106"/>
        <v>0</v>
      </c>
      <c r="AA362" s="183">
        <f t="shared" si="107"/>
        <v>0</v>
      </c>
      <c r="AB362" s="187">
        <f t="shared" si="108"/>
        <v>0</v>
      </c>
      <c r="AC362" s="183">
        <f t="shared" si="109"/>
        <v>0</v>
      </c>
      <c r="AD362" s="188">
        <f t="shared" si="110"/>
        <v>2.5354166666656965</v>
      </c>
      <c r="AE362" s="188">
        <f t="shared" si="111"/>
        <v>0</v>
      </c>
      <c r="AF362" s="188">
        <f t="shared" si="112"/>
        <v>2.5354166666656965</v>
      </c>
      <c r="AG362" s="188">
        <f t="shared" si="113"/>
        <v>0</v>
      </c>
    </row>
    <row r="363" spans="2:33" ht="15" customHeight="1" x14ac:dyDescent="0.15">
      <c r="B363" s="174" t="s">
        <v>5</v>
      </c>
      <c r="C363" s="175" t="s">
        <v>15</v>
      </c>
      <c r="D363" s="176" t="str">
        <f t="shared" si="95"/>
        <v>C</v>
      </c>
      <c r="E363" s="177" t="d">
        <v>2021-07-23T09:59:59.99999979045242400</v>
      </c>
      <c r="F363" s="178" t="s">
        <v>80</v>
      </c>
      <c r="G363" s="179">
        <v>15585.07</v>
      </c>
      <c r="H363" s="179">
        <v>15535.92</v>
      </c>
      <c r="I363" s="180">
        <f t="shared" si="96"/>
        <v>49.149999999999636</v>
      </c>
      <c r="J363" s="179">
        <v>15945.51</v>
      </c>
      <c r="K363" s="177" t="d">
        <v>2021-07-26T03:23:00.000000097788870375</v>
      </c>
      <c r="L363" s="179">
        <v>15614.64</v>
      </c>
      <c r="M363" s="181">
        <f t="shared" si="97"/>
        <v>29.57</v>
      </c>
      <c r="N363" s="182">
        <f t="shared" si="98"/>
        <v>0.6</v>
      </c>
      <c r="O363" s="183">
        <f t="shared" si="99"/>
        <v>0</v>
      </c>
      <c r="P363" s="184">
        <f t="shared" si="100"/>
        <v>0.6</v>
      </c>
      <c r="Q363" s="184">
        <f t="shared" si="101"/>
        <v>0</v>
      </c>
      <c r="R36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46500</v>
      </c>
      <c r="T36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63" s="186">
        <f ca="1">IF(Tabla33610673[[#This Row],[Equity]]&lt;Tabla33610673[[#This Row],[Equity Peak]],(Tabla33610673[[#This Row],[Equity Peak]]-Tabla33610673[[#This Row],[Equity]])/Tabla33610673[[#This Row],[Equity Peak]],"")</f>
        <v>1.8935597869085923E-2</v>
      </c>
      <c r="V363" s="187">
        <f t="shared" si="102"/>
        <v>0</v>
      </c>
      <c r="W363" s="187">
        <f t="shared" si="103"/>
        <v>0</v>
      </c>
      <c r="X363" s="187">
        <f t="shared" si="104"/>
        <v>0</v>
      </c>
      <c r="Y363" s="187">
        <f t="shared" si="105"/>
        <v>0</v>
      </c>
      <c r="Z363" s="187">
        <f t="shared" si="106"/>
        <v>0.6</v>
      </c>
      <c r="AA363" s="183">
        <f t="shared" si="107"/>
        <v>0</v>
      </c>
      <c r="AB363" s="187">
        <f t="shared" si="108"/>
        <v>0</v>
      </c>
      <c r="AC363" s="183">
        <f t="shared" si="109"/>
        <v>0</v>
      </c>
      <c r="AD363" s="188">
        <f t="shared" si="110"/>
        <v>2.7243055555591127</v>
      </c>
      <c r="AE363" s="188">
        <f t="shared" si="111"/>
        <v>2.7243055555591127</v>
      </c>
      <c r="AF363" s="188">
        <f t="shared" si="112"/>
        <v>0</v>
      </c>
      <c r="AG363" s="188">
        <f t="shared" si="113"/>
        <v>0</v>
      </c>
    </row>
    <row r="364" spans="2:33" ht="15" customHeight="1" x14ac:dyDescent="0.15">
      <c r="B364" s="174" t="s">
        <v>19</v>
      </c>
      <c r="C364" s="175" t="s">
        <v>15</v>
      </c>
      <c r="D364" s="176" t="str">
        <f t="shared" si="95"/>
        <v>C</v>
      </c>
      <c r="E364" s="177" t="d">
        <v>2021-07-23T11:00:00.00000020954757600</v>
      </c>
      <c r="F364" s="178" t="s">
        <v>77</v>
      </c>
      <c r="G364" s="179">
        <v>1809.38</v>
      </c>
      <c r="H364" s="179">
        <v>1804.57</v>
      </c>
      <c r="I364" s="180">
        <f t="shared" si="96"/>
        <v>4.8100000000001728</v>
      </c>
      <c r="J364" s="179">
        <v>1832.46</v>
      </c>
      <c r="K364" s="177" t="d">
        <v>2021-07-23T11:51:00.00000012572854425</v>
      </c>
      <c r="L364" s="179">
        <v>1804.57</v>
      </c>
      <c r="M364" s="181">
        <f t="shared" si="97"/>
        <v>-4.8099999999999996</v>
      </c>
      <c r="N364" s="182">
        <f t="shared" si="98"/>
        <v>-1</v>
      </c>
      <c r="O364" s="183">
        <f t="shared" si="99"/>
        <v>0</v>
      </c>
      <c r="P364" s="184">
        <f t="shared" si="100"/>
        <v>0</v>
      </c>
      <c r="Q364" s="184">
        <f t="shared" si="101"/>
        <v>-1</v>
      </c>
      <c r="R36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46350</v>
      </c>
      <c r="T36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64" s="186">
        <f ca="1">IF(Tabla33610673[[#This Row],[Equity]]&lt;Tabla33610673[[#This Row],[Equity Peak]],(Tabla33610673[[#This Row],[Equity Peak]]-Tabla33610673[[#This Row],[Equity]])/Tabla33610673[[#This Row],[Equity Peak]],"")</f>
        <v>2.2100321746927581E-2</v>
      </c>
      <c r="V364" s="187">
        <f t="shared" si="102"/>
        <v>0</v>
      </c>
      <c r="W364" s="187">
        <f t="shared" si="103"/>
        <v>0</v>
      </c>
      <c r="X364" s="187">
        <f t="shared" si="104"/>
        <v>-1</v>
      </c>
      <c r="Y364" s="187">
        <f t="shared" si="105"/>
        <v>0</v>
      </c>
      <c r="Z364" s="187">
        <f t="shared" si="106"/>
        <v>0</v>
      </c>
      <c r="AA364" s="183">
        <f t="shared" si="107"/>
        <v>0</v>
      </c>
      <c r="AB364" s="187">
        <f t="shared" si="108"/>
        <v>0</v>
      </c>
      <c r="AC364" s="183">
        <f t="shared" si="109"/>
        <v>0</v>
      </c>
      <c r="AD364" s="188">
        <f t="shared" si="110"/>
        <v>3.5416666665696539E-2</v>
      </c>
      <c r="AE364" s="188">
        <f t="shared" si="111"/>
        <v>0</v>
      </c>
      <c r="AF364" s="188">
        <f t="shared" si="112"/>
        <v>3.5416666665696539E-2</v>
      </c>
      <c r="AG364" s="188">
        <f t="shared" si="113"/>
        <v>0</v>
      </c>
    </row>
    <row r="365" spans="2:33" ht="15" customHeight="1" x14ac:dyDescent="0.15">
      <c r="B365" s="174" t="s">
        <v>19</v>
      </c>
      <c r="C365" s="175" t="s">
        <v>15</v>
      </c>
      <c r="D365" s="176" t="str">
        <f t="shared" si="95"/>
        <v>C</v>
      </c>
      <c r="E365" s="177" t="d">
        <v>2021-07-22T18:30:00.00000020954757600</v>
      </c>
      <c r="F365" s="178" t="s">
        <v>77</v>
      </c>
      <c r="G365" s="179">
        <v>1807.74</v>
      </c>
      <c r="H365" s="179">
        <v>1802.73</v>
      </c>
      <c r="I365" s="180">
        <f t="shared" si="96"/>
        <v>5.0099999999999909</v>
      </c>
      <c r="J365" s="179">
        <v>1831.78</v>
      </c>
      <c r="K365" s="177" t="d">
        <v>2021-07-23T06:39:00.00000008381903175</v>
      </c>
      <c r="L365" s="179">
        <v>1802.73</v>
      </c>
      <c r="M365" s="181">
        <f t="shared" si="97"/>
        <v>-5.01</v>
      </c>
      <c r="N365" s="182">
        <f t="shared" si="98"/>
        <v>-1</v>
      </c>
      <c r="O365" s="183">
        <f t="shared" si="99"/>
        <v>0</v>
      </c>
      <c r="P365" s="184">
        <f t="shared" si="100"/>
        <v>0</v>
      </c>
      <c r="Q365" s="184">
        <f t="shared" si="101"/>
        <v>-1</v>
      </c>
      <c r="R36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46600</v>
      </c>
      <c r="T36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65" s="186">
        <f ca="1">IF(Tabla33610673[[#This Row],[Equity]]&lt;Tabla33610673[[#This Row],[Equity Peak]],(Tabla33610673[[#This Row],[Equity Peak]]-Tabla33610673[[#This Row],[Equity]])/Tabla33610673[[#This Row],[Equity Peak]],"")</f>
        <v>1.6825781950524817E-2</v>
      </c>
      <c r="V365" s="187">
        <f t="shared" si="102"/>
        <v>0</v>
      </c>
      <c r="W365" s="187">
        <f t="shared" si="103"/>
        <v>0</v>
      </c>
      <c r="X365" s="187">
        <f t="shared" si="104"/>
        <v>-1</v>
      </c>
      <c r="Y365" s="187">
        <f t="shared" si="105"/>
        <v>0</v>
      </c>
      <c r="Z365" s="187">
        <f t="shared" si="106"/>
        <v>0</v>
      </c>
      <c r="AA365" s="183">
        <f t="shared" si="107"/>
        <v>0</v>
      </c>
      <c r="AB365" s="187">
        <f t="shared" si="108"/>
        <v>0</v>
      </c>
      <c r="AC365" s="183">
        <f t="shared" si="109"/>
        <v>0</v>
      </c>
      <c r="AD365" s="188">
        <f t="shared" si="110"/>
        <v>0.50624999999854481</v>
      </c>
      <c r="AE365" s="188">
        <f t="shared" si="111"/>
        <v>0</v>
      </c>
      <c r="AF365" s="188">
        <f t="shared" si="112"/>
        <v>0.50624999999854481</v>
      </c>
      <c r="AG365" s="188">
        <f t="shared" si="113"/>
        <v>0</v>
      </c>
    </row>
    <row r="366" spans="2:33" ht="15" customHeight="1" x14ac:dyDescent="0.15">
      <c r="B366" s="174" t="s">
        <v>5</v>
      </c>
      <c r="C366" s="175" t="s">
        <v>15</v>
      </c>
      <c r="D366" s="176" t="str">
        <f t="shared" si="95"/>
        <v>C</v>
      </c>
      <c r="E366" s="177" t="d">
        <v>2021-07-21T17:00:00.00000020954757600</v>
      </c>
      <c r="F366" s="178" t="s">
        <v>82</v>
      </c>
      <c r="G366" s="179">
        <v>4349.7</v>
      </c>
      <c r="H366" s="179">
        <v>4330.18</v>
      </c>
      <c r="I366" s="180">
        <f t="shared" si="96"/>
        <v>19.519999999999527</v>
      </c>
      <c r="J366" s="179">
        <v>4476.59</v>
      </c>
      <c r="K366" s="177" t="d">
        <v>2021-07-22T19:18:00.00000016763806350</v>
      </c>
      <c r="L366" s="179">
        <v>4349.38</v>
      </c>
      <c r="M366" s="181">
        <f t="shared" si="97"/>
        <v>-0.32</v>
      </c>
      <c r="N366" s="182">
        <f t="shared" si="98"/>
        <v>-0.02</v>
      </c>
      <c r="O366" s="183">
        <f t="shared" si="99"/>
        <v>0</v>
      </c>
      <c r="P366" s="184">
        <f t="shared" si="100"/>
        <v>0</v>
      </c>
      <c r="Q366" s="184">
        <f t="shared" si="101"/>
        <v>-0.02</v>
      </c>
      <c r="R36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46850</v>
      </c>
      <c r="T36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66" s="186">
        <f ca="1">IF(Tabla33610673[[#This Row],[Equity]]&lt;Tabla33610673[[#This Row],[Equity Peak]],(Tabla33610673[[#This Row],[Equity Peak]]-Tabla33610673[[#This Row],[Equity]])/Tabla33610673[[#This Row],[Equity Peak]],"")</f>
        <v>1.1551242154122053E-2</v>
      </c>
      <c r="V366" s="187">
        <f t="shared" si="102"/>
        <v>0</v>
      </c>
      <c r="W366" s="187">
        <f t="shared" si="103"/>
        <v>0</v>
      </c>
      <c r="X366" s="187">
        <f t="shared" si="104"/>
        <v>0</v>
      </c>
      <c r="Y366" s="187">
        <f t="shared" si="105"/>
        <v>0</v>
      </c>
      <c r="Z366" s="187">
        <f t="shared" si="106"/>
        <v>-0.02</v>
      </c>
      <c r="AA366" s="183">
        <f t="shared" si="107"/>
        <v>0</v>
      </c>
      <c r="AB366" s="187">
        <f t="shared" si="108"/>
        <v>0</v>
      </c>
      <c r="AC366" s="183">
        <f t="shared" si="109"/>
        <v>0</v>
      </c>
      <c r="AD366" s="188">
        <f t="shared" si="110"/>
        <v>1.0958333333328483</v>
      </c>
      <c r="AE366" s="188">
        <f t="shared" si="111"/>
        <v>0</v>
      </c>
      <c r="AF366" s="188">
        <f t="shared" si="112"/>
        <v>1.0958333333328483</v>
      </c>
      <c r="AG366" s="188">
        <f t="shared" si="113"/>
        <v>0</v>
      </c>
    </row>
    <row r="367" spans="2:33" ht="15" customHeight="1" x14ac:dyDescent="0.15">
      <c r="B367" s="174" t="s">
        <v>5</v>
      </c>
      <c r="C367" s="175" t="s">
        <v>15</v>
      </c>
      <c r="D367" s="176" t="str">
        <f t="shared" si="95"/>
        <v>C</v>
      </c>
      <c r="E367" s="177" t="d">
        <v>2021-07-21T22:15:00.00000020954757600</v>
      </c>
      <c r="F367" s="178" t="s">
        <v>81</v>
      </c>
      <c r="G367" s="179">
        <v>14805.34</v>
      </c>
      <c r="H367" s="179">
        <v>14748.5</v>
      </c>
      <c r="I367" s="180">
        <f t="shared" si="96"/>
        <v>56.840000000000146</v>
      </c>
      <c r="J367" s="179">
        <v>15146.37</v>
      </c>
      <c r="K367" s="177" t="d">
        <v>2021-07-22T19:09:00.00000029336660775</v>
      </c>
      <c r="L367" s="179">
        <v>14878.93</v>
      </c>
      <c r="M367" s="181">
        <f t="shared" si="97"/>
        <v>73.59</v>
      </c>
      <c r="N367" s="182">
        <f t="shared" si="98"/>
        <v>1.29</v>
      </c>
      <c r="O367" s="183">
        <f t="shared" si="99"/>
        <v>0</v>
      </c>
      <c r="P367" s="184">
        <f t="shared" si="100"/>
        <v>1.29</v>
      </c>
      <c r="Q367" s="184">
        <f t="shared" si="101"/>
        <v>0</v>
      </c>
      <c r="R36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46855</v>
      </c>
      <c r="T36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67" s="186">
        <f ca="1">IF(Tabla33610673[[#This Row],[Equity]]&lt;Tabla33610673[[#This Row],[Equity Peak]],(Tabla33610673[[#This Row],[Equity Peak]]-Tabla33610673[[#This Row],[Equity]])/Tabla33610673[[#This Row],[Equity Peak]],"")</f>
        <v>1.1445751358193998E-2</v>
      </c>
      <c r="V367" s="187">
        <f t="shared" si="102"/>
        <v>0</v>
      </c>
      <c r="W367" s="187">
        <f t="shared" si="103"/>
        <v>0</v>
      </c>
      <c r="X367" s="187">
        <f t="shared" si="104"/>
        <v>0</v>
      </c>
      <c r="Y367" s="187">
        <f t="shared" si="105"/>
        <v>0</v>
      </c>
      <c r="Z367" s="187">
        <f t="shared" si="106"/>
        <v>1.29</v>
      </c>
      <c r="AA367" s="183">
        <f t="shared" si="107"/>
        <v>0</v>
      </c>
      <c r="AB367" s="187">
        <f t="shared" si="108"/>
        <v>0</v>
      </c>
      <c r="AC367" s="183">
        <f t="shared" si="109"/>
        <v>0</v>
      </c>
      <c r="AD367" s="188">
        <f t="shared" si="110"/>
        <v>0.87083333333430346</v>
      </c>
      <c r="AE367" s="188">
        <f t="shared" si="111"/>
        <v>0.87083333333430346</v>
      </c>
      <c r="AF367" s="188">
        <f t="shared" si="112"/>
        <v>0</v>
      </c>
      <c r="AG367" s="188">
        <f t="shared" si="113"/>
        <v>0</v>
      </c>
    </row>
    <row r="368" spans="2:33" ht="15" customHeight="1" x14ac:dyDescent="0.15">
      <c r="B368" s="174" t="s">
        <v>7</v>
      </c>
      <c r="C368" s="175" t="s">
        <v>15</v>
      </c>
      <c r="D368" s="176" t="str">
        <f t="shared" si="95"/>
        <v>C</v>
      </c>
      <c r="E368" s="177" t="d">
        <v>2021-07-22T10:15:00.00000020954757600</v>
      </c>
      <c r="F368" s="178" t="s">
        <v>102</v>
      </c>
      <c r="G368" s="179">
        <v>151.50700000000001</v>
      </c>
      <c r="H368" s="179">
        <v>151.17599999999999</v>
      </c>
      <c r="I368" s="180">
        <f t="shared" si="96"/>
        <v>0.33100000000001728</v>
      </c>
      <c r="J368" s="179">
        <v>153.27099999999999</v>
      </c>
      <c r="K368" s="177" t="d">
        <v>2021-07-22T18:39:00.00000008381903175</v>
      </c>
      <c r="L368" s="179">
        <v>151.37299999999999</v>
      </c>
      <c r="M368" s="181">
        <f t="shared" si="97"/>
        <v>-0.13400000000000001</v>
      </c>
      <c r="N368" s="182">
        <f t="shared" si="98"/>
        <v>-0.4</v>
      </c>
      <c r="O368" s="183">
        <f t="shared" si="99"/>
        <v>0</v>
      </c>
      <c r="P368" s="184">
        <f t="shared" si="100"/>
        <v>0</v>
      </c>
      <c r="Q368" s="184">
        <f t="shared" si="101"/>
        <v>-0.4</v>
      </c>
      <c r="R36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46532.5</v>
      </c>
      <c r="T36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68" s="186">
        <f ca="1">IF(Tabla33610673[[#This Row],[Equity]]&lt;Tabla33610673[[#This Row],[Equity Peak]],(Tabla33610673[[#This Row],[Equity Peak]]-Tabla33610673[[#This Row],[Equity]])/Tabla33610673[[#This Row],[Equity Peak]],"")</f>
        <v>1.8249907695553562E-2</v>
      </c>
      <c r="V368" s="187">
        <f t="shared" si="102"/>
        <v>-0.4</v>
      </c>
      <c r="W368" s="187">
        <f t="shared" si="103"/>
        <v>0</v>
      </c>
      <c r="X368" s="187">
        <f t="shared" si="104"/>
        <v>0</v>
      </c>
      <c r="Y368" s="187">
        <f t="shared" si="105"/>
        <v>0</v>
      </c>
      <c r="Z368" s="187">
        <f t="shared" si="106"/>
        <v>0</v>
      </c>
      <c r="AA368" s="183">
        <f t="shared" si="107"/>
        <v>0</v>
      </c>
      <c r="AB368" s="187">
        <f t="shared" si="108"/>
        <v>0</v>
      </c>
      <c r="AC368" s="183">
        <f t="shared" si="109"/>
        <v>0</v>
      </c>
      <c r="AD368" s="188">
        <f t="shared" si="110"/>
        <v>0.34999999999854481</v>
      </c>
      <c r="AE368" s="188">
        <f t="shared" si="111"/>
        <v>0</v>
      </c>
      <c r="AF368" s="188">
        <f t="shared" si="112"/>
        <v>0.34999999999854481</v>
      </c>
      <c r="AG368" s="188">
        <f t="shared" si="113"/>
        <v>0</v>
      </c>
    </row>
    <row r="369" spans="2:33" ht="15" customHeight="1" x14ac:dyDescent="0.15">
      <c r="B369" s="174" t="s">
        <v>19</v>
      </c>
      <c r="C369" s="175" t="s">
        <v>15</v>
      </c>
      <c r="D369" s="176" t="str">
        <f t="shared" si="95"/>
        <v>C</v>
      </c>
      <c r="E369" s="177" t="d">
        <v>2021-07-22T15:45:00.000</v>
      </c>
      <c r="F369" s="178" t="s">
        <v>77</v>
      </c>
      <c r="G369" s="179">
        <v>1803.58</v>
      </c>
      <c r="H369" s="179">
        <v>1798.63</v>
      </c>
      <c r="I369" s="180">
        <f t="shared" si="96"/>
        <v>4.9499999999998181</v>
      </c>
      <c r="J369" s="179">
        <v>1827.33</v>
      </c>
      <c r="K369" s="177" t="d">
        <v>2021-07-22T16:35:59.99999991618096825</v>
      </c>
      <c r="L369" s="179">
        <v>1798.63</v>
      </c>
      <c r="M369" s="181">
        <f t="shared" si="97"/>
        <v>-4.95</v>
      </c>
      <c r="N369" s="182">
        <f t="shared" si="98"/>
        <v>-1</v>
      </c>
      <c r="O369" s="183">
        <f t="shared" si="99"/>
        <v>0</v>
      </c>
      <c r="P369" s="184">
        <f t="shared" si="100"/>
        <v>0</v>
      </c>
      <c r="Q369" s="184">
        <f t="shared" si="101"/>
        <v>-1</v>
      </c>
      <c r="R36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46632.5</v>
      </c>
      <c r="T36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69" s="186">
        <f ca="1">IF(Tabla33610673[[#This Row],[Equity]]&lt;Tabla33610673[[#This Row],[Equity Peak]],(Tabla33610673[[#This Row],[Equity Peak]]-Tabla33610673[[#This Row],[Equity]])/Tabla33610673[[#This Row],[Equity Peak]],"")</f>
        <v>1.6140091776992459E-2</v>
      </c>
      <c r="V369" s="187">
        <f t="shared" si="102"/>
        <v>0</v>
      </c>
      <c r="W369" s="187">
        <f t="shared" si="103"/>
        <v>0</v>
      </c>
      <c r="X369" s="187">
        <f t="shared" si="104"/>
        <v>-1</v>
      </c>
      <c r="Y369" s="187">
        <f t="shared" si="105"/>
        <v>0</v>
      </c>
      <c r="Z369" s="187">
        <f t="shared" si="106"/>
        <v>0</v>
      </c>
      <c r="AA369" s="183">
        <f t="shared" si="107"/>
        <v>0</v>
      </c>
      <c r="AB369" s="187">
        <f t="shared" si="108"/>
        <v>0</v>
      </c>
      <c r="AC369" s="183">
        <f t="shared" si="109"/>
        <v>0</v>
      </c>
      <c r="AD369" s="188">
        <f t="shared" si="110"/>
        <v>3.5416666665696539E-2</v>
      </c>
      <c r="AE369" s="188">
        <f t="shared" si="111"/>
        <v>0</v>
      </c>
      <c r="AF369" s="188">
        <f t="shared" si="112"/>
        <v>3.5416666665696539E-2</v>
      </c>
      <c r="AG369" s="188">
        <f t="shared" si="113"/>
        <v>0</v>
      </c>
    </row>
    <row r="370" spans="2:33" ht="15" customHeight="1" x14ac:dyDescent="0.15">
      <c r="B370" s="174" t="s">
        <v>5</v>
      </c>
      <c r="C370" s="175" t="s">
        <v>15</v>
      </c>
      <c r="D370" s="176" t="str">
        <f t="shared" si="95"/>
        <v>C</v>
      </c>
      <c r="E370" s="177" t="d">
        <v>2021-07-20T19:44:59.99999979045242400</v>
      </c>
      <c r="F370" s="178" t="s">
        <v>82</v>
      </c>
      <c r="G370" s="179">
        <v>4328.7700000000004</v>
      </c>
      <c r="H370" s="179">
        <v>4309.3999999999996</v>
      </c>
      <c r="I370" s="180">
        <f t="shared" si="96"/>
        <v>19.3700000000008</v>
      </c>
      <c r="J370" s="179">
        <v>4454.66</v>
      </c>
      <c r="K370" s="177" t="d">
        <v>2021-07-21T14:54:00.00000008381903175</v>
      </c>
      <c r="L370" s="179">
        <v>4324.07</v>
      </c>
      <c r="M370" s="181">
        <f t="shared" si="97"/>
        <v>-4.7</v>
      </c>
      <c r="N370" s="182">
        <f t="shared" si="98"/>
        <v>-0.24</v>
      </c>
      <c r="O370" s="183">
        <f t="shared" si="99"/>
        <v>0</v>
      </c>
      <c r="P370" s="184">
        <f t="shared" si="100"/>
        <v>0</v>
      </c>
      <c r="Q370" s="184">
        <f t="shared" si="101"/>
        <v>-0.24</v>
      </c>
      <c r="R37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46882.5</v>
      </c>
      <c r="T37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70" s="186">
        <f ca="1">IF(Tabla33610673[[#This Row],[Equity]]&lt;Tabla33610673[[#This Row],[Equity Peak]],(Tabla33610673[[#This Row],[Equity Peak]]-Tabla33610673[[#This Row],[Equity]])/Tabla33610673[[#This Row],[Equity Peak]],"")</f>
        <v>1.0865551980589694E-2</v>
      </c>
      <c r="V370" s="187">
        <f t="shared" si="102"/>
        <v>0</v>
      </c>
      <c r="W370" s="187">
        <f t="shared" si="103"/>
        <v>0</v>
      </c>
      <c r="X370" s="187">
        <f t="shared" si="104"/>
        <v>0</v>
      </c>
      <c r="Y370" s="187">
        <f t="shared" si="105"/>
        <v>0</v>
      </c>
      <c r="Z370" s="187">
        <f t="shared" si="106"/>
        <v>-0.24</v>
      </c>
      <c r="AA370" s="183">
        <f t="shared" si="107"/>
        <v>0</v>
      </c>
      <c r="AB370" s="187">
        <f t="shared" si="108"/>
        <v>0</v>
      </c>
      <c r="AC370" s="183">
        <f t="shared" si="109"/>
        <v>0</v>
      </c>
      <c r="AD370" s="188">
        <f t="shared" si="110"/>
        <v>0.79791666667006211</v>
      </c>
      <c r="AE370" s="188">
        <f t="shared" si="111"/>
        <v>0</v>
      </c>
      <c r="AF370" s="188">
        <f t="shared" si="112"/>
        <v>0.79791666667006211</v>
      </c>
      <c r="AG370" s="188">
        <f t="shared" si="113"/>
        <v>0</v>
      </c>
    </row>
    <row r="371" spans="2:33" ht="15" customHeight="1" x14ac:dyDescent="0.15">
      <c r="B371" s="174" t="s">
        <v>5</v>
      </c>
      <c r="C371" s="175" t="s">
        <v>15</v>
      </c>
      <c r="D371" s="176" t="str">
        <f t="shared" si="95"/>
        <v>C</v>
      </c>
      <c r="E371" s="177" t="d">
        <v>2021-07-20T18:45:00.000</v>
      </c>
      <c r="F371" s="178" t="s">
        <v>81</v>
      </c>
      <c r="G371" s="179">
        <v>14708.36</v>
      </c>
      <c r="H371" s="179">
        <v>14638.27</v>
      </c>
      <c r="I371" s="180">
        <f t="shared" si="96"/>
        <v>70.090000000000146</v>
      </c>
      <c r="J371" s="179">
        <v>15128.88</v>
      </c>
      <c r="K371" s="177" t="d">
        <v>2021-07-21T14:39:00.00000029336660775</v>
      </c>
      <c r="L371" s="179">
        <v>14684.89</v>
      </c>
      <c r="M371" s="181">
        <f t="shared" si="97"/>
        <v>-23.47</v>
      </c>
      <c r="N371" s="182">
        <f t="shared" si="98"/>
        <v>-0.33</v>
      </c>
      <c r="O371" s="183">
        <f t="shared" si="99"/>
        <v>0</v>
      </c>
      <c r="P371" s="184">
        <f t="shared" si="100"/>
        <v>0</v>
      </c>
      <c r="Q371" s="184">
        <f t="shared" si="101"/>
        <v>-0.33</v>
      </c>
      <c r="R37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46942.5</v>
      </c>
      <c r="T37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71" s="186">
        <f ca="1">IF(Tabla33610673[[#This Row],[Equity]]&lt;Tabla33610673[[#This Row],[Equity Peak]],(Tabla33610673[[#This Row],[Equity Peak]]-Tabla33610673[[#This Row],[Equity]])/Tabla33610673[[#This Row],[Equity Peak]],"")</f>
        <v>9.5996624294530306E-3</v>
      </c>
      <c r="V371" s="187">
        <f t="shared" si="102"/>
        <v>0</v>
      </c>
      <c r="W371" s="187">
        <f t="shared" si="103"/>
        <v>0</v>
      </c>
      <c r="X371" s="187">
        <f t="shared" si="104"/>
        <v>0</v>
      </c>
      <c r="Y371" s="187">
        <f t="shared" si="105"/>
        <v>0</v>
      </c>
      <c r="Z371" s="187">
        <f t="shared" si="106"/>
        <v>-0.33</v>
      </c>
      <c r="AA371" s="183">
        <f t="shared" si="107"/>
        <v>0</v>
      </c>
      <c r="AB371" s="187">
        <f t="shared" si="108"/>
        <v>0</v>
      </c>
      <c r="AC371" s="183">
        <f t="shared" si="109"/>
        <v>0</v>
      </c>
      <c r="AD371" s="188">
        <f t="shared" si="110"/>
        <v>0.82916666667006211</v>
      </c>
      <c r="AE371" s="188">
        <f t="shared" si="111"/>
        <v>0</v>
      </c>
      <c r="AF371" s="188">
        <f t="shared" si="112"/>
        <v>0.82916666667006211</v>
      </c>
      <c r="AG371" s="188">
        <f t="shared" si="113"/>
        <v>0</v>
      </c>
    </row>
    <row r="372" spans="2:33" ht="15" customHeight="1" x14ac:dyDescent="0.15">
      <c r="B372" s="174" t="s">
        <v>19</v>
      </c>
      <c r="C372" s="175" t="s">
        <v>15</v>
      </c>
      <c r="D372" s="176" t="str">
        <f t="shared" si="95"/>
        <v>C</v>
      </c>
      <c r="E372" s="177" t="d">
        <v>2021-07-21T09:14:59.99999979045242400</v>
      </c>
      <c r="F372" s="178" t="s">
        <v>77</v>
      </c>
      <c r="G372" s="179">
        <v>1812.37</v>
      </c>
      <c r="H372" s="179">
        <v>1807.52</v>
      </c>
      <c r="I372" s="180">
        <f t="shared" si="96"/>
        <v>4.8499999999999091</v>
      </c>
      <c r="J372" s="179">
        <v>1835.63</v>
      </c>
      <c r="K372" s="177" t="d">
        <v>2021-07-21T10:37:00.00000011175870900</v>
      </c>
      <c r="L372" s="179">
        <v>1807.52</v>
      </c>
      <c r="M372" s="181">
        <f t="shared" si="97"/>
        <v>-4.8499999999999996</v>
      </c>
      <c r="N372" s="182">
        <f t="shared" si="98"/>
        <v>-1</v>
      </c>
      <c r="O372" s="183">
        <f t="shared" si="99"/>
        <v>0</v>
      </c>
      <c r="P372" s="184">
        <f t="shared" si="100"/>
        <v>0</v>
      </c>
      <c r="Q372" s="184">
        <f t="shared" si="101"/>
        <v>-1</v>
      </c>
      <c r="R37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47025</v>
      </c>
      <c r="T37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72" s="186">
        <f ca="1">IF(Tabla33610673[[#This Row],[Equity]]&lt;Tabla33610673[[#This Row],[Equity Peak]],(Tabla33610673[[#This Row],[Equity Peak]]-Tabla33610673[[#This Row],[Equity]])/Tabla33610673[[#This Row],[Equity Peak]],"")</f>
        <v>7.8590642966401177E-3</v>
      </c>
      <c r="V372" s="187">
        <f t="shared" si="102"/>
        <v>0</v>
      </c>
      <c r="W372" s="187">
        <f t="shared" si="103"/>
        <v>0</v>
      </c>
      <c r="X372" s="187">
        <f t="shared" si="104"/>
        <v>-1</v>
      </c>
      <c r="Y372" s="187">
        <f t="shared" si="105"/>
        <v>0</v>
      </c>
      <c r="Z372" s="187">
        <f t="shared" si="106"/>
        <v>0</v>
      </c>
      <c r="AA372" s="183">
        <f t="shared" si="107"/>
        <v>0</v>
      </c>
      <c r="AB372" s="187">
        <f t="shared" si="108"/>
        <v>0</v>
      </c>
      <c r="AC372" s="183">
        <f t="shared" si="109"/>
        <v>0</v>
      </c>
      <c r="AD372" s="188">
        <f t="shared" si="110"/>
        <v>5.6944444448163267E-2</v>
      </c>
      <c r="AE372" s="188">
        <f t="shared" si="111"/>
        <v>0</v>
      </c>
      <c r="AF372" s="188">
        <f t="shared" si="112"/>
        <v>5.6944444448163267E-2</v>
      </c>
      <c r="AG372" s="188">
        <f t="shared" si="113"/>
        <v>0</v>
      </c>
    </row>
    <row r="373" spans="2:33" ht="15" customHeight="1" x14ac:dyDescent="0.15">
      <c r="B373" s="174" t="s">
        <v>19</v>
      </c>
      <c r="C373" s="175" t="s">
        <v>15</v>
      </c>
      <c r="D373" s="176" t="str">
        <f t="shared" si="95"/>
        <v>C</v>
      </c>
      <c r="E373" s="177" t="d">
        <v>2021-07-20T04:15:00.00000020954757600</v>
      </c>
      <c r="F373" s="178" t="s">
        <v>77</v>
      </c>
      <c r="G373" s="179">
        <v>1816.14</v>
      </c>
      <c r="H373" s="179">
        <v>1811.24</v>
      </c>
      <c r="I373" s="180">
        <f t="shared" si="96"/>
        <v>4.9000000000000909</v>
      </c>
      <c r="J373" s="179">
        <v>1839.66</v>
      </c>
      <c r="K373" s="177" t="d">
        <v>2021-07-20T17:39:00.00000029336660775</v>
      </c>
      <c r="L373" s="179">
        <v>1813.74</v>
      </c>
      <c r="M373" s="181">
        <f t="shared" si="97"/>
        <v>-2.4</v>
      </c>
      <c r="N373" s="182">
        <f t="shared" si="98"/>
        <v>-0.49</v>
      </c>
      <c r="O373" s="183">
        <f t="shared" si="99"/>
        <v>0</v>
      </c>
      <c r="P373" s="184">
        <f t="shared" si="100"/>
        <v>0</v>
      </c>
      <c r="Q373" s="184">
        <f t="shared" si="101"/>
        <v>-0.49</v>
      </c>
      <c r="R37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47275</v>
      </c>
      <c r="T37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73" s="186">
        <f ca="1">IF(Tabla33610673[[#This Row],[Equity]]&lt;Tabla33610673[[#This Row],[Equity Peak]],(Tabla33610673[[#This Row],[Equity Peak]]-Tabla33610673[[#This Row],[Equity]])/Tabla33610673[[#This Row],[Equity Peak]],"")</f>
        <v>2.5845245002373541E-3</v>
      </c>
      <c r="V373" s="187">
        <f t="shared" si="102"/>
        <v>0</v>
      </c>
      <c r="W373" s="187">
        <f t="shared" si="103"/>
        <v>0</v>
      </c>
      <c r="X373" s="187">
        <f t="shared" si="104"/>
        <v>-0.49</v>
      </c>
      <c r="Y373" s="187">
        <f t="shared" si="105"/>
        <v>0</v>
      </c>
      <c r="Z373" s="187">
        <f t="shared" si="106"/>
        <v>0</v>
      </c>
      <c r="AA373" s="183">
        <f t="shared" si="107"/>
        <v>0</v>
      </c>
      <c r="AB373" s="187">
        <f t="shared" si="108"/>
        <v>0</v>
      </c>
      <c r="AC373" s="183">
        <f t="shared" si="109"/>
        <v>0</v>
      </c>
      <c r="AD373" s="188">
        <f t="shared" si="110"/>
        <v>0.55833333333430346</v>
      </c>
      <c r="AE373" s="188">
        <f t="shared" si="111"/>
        <v>0</v>
      </c>
      <c r="AF373" s="188">
        <f t="shared" si="112"/>
        <v>0.55833333333430346</v>
      </c>
      <c r="AG373" s="188">
        <f t="shared" si="113"/>
        <v>0</v>
      </c>
    </row>
    <row r="374" spans="2:33" ht="15" customHeight="1" x14ac:dyDescent="0.15">
      <c r="B374" s="174" t="s">
        <v>5</v>
      </c>
      <c r="C374" s="175" t="s">
        <v>13</v>
      </c>
      <c r="D374" s="176" t="str">
        <f t="shared" si="95"/>
        <v>C</v>
      </c>
      <c r="E374" s="177" t="d">
        <v>2021-07-19T14:15:00.000</v>
      </c>
      <c r="F374" s="178" t="s">
        <v>81</v>
      </c>
      <c r="G374" s="179">
        <v>14587.79</v>
      </c>
      <c r="H374" s="179">
        <v>14650.02</v>
      </c>
      <c r="I374" s="180">
        <f t="shared" si="96"/>
        <v>62.229999999999563</v>
      </c>
      <c r="J374" s="179">
        <v>14214.39</v>
      </c>
      <c r="K374" s="177" t="d">
        <v>2021-07-19T18:07:00.00000011175870900</v>
      </c>
      <c r="L374" s="179">
        <v>14547.27</v>
      </c>
      <c r="M374" s="181">
        <f t="shared" si="97"/>
        <v>40.520000000000003</v>
      </c>
      <c r="N374" s="182">
        <f t="shared" si="98"/>
        <v>0.65</v>
      </c>
      <c r="O374" s="183">
        <f t="shared" si="99"/>
        <v>0</v>
      </c>
      <c r="P374" s="184">
        <f t="shared" si="100"/>
        <v>0.65</v>
      </c>
      <c r="Q374" s="184">
        <f t="shared" si="101"/>
        <v>0</v>
      </c>
      <c r="R37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47397.5</v>
      </c>
      <c r="T37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47397.5</v>
      </c>
      <c r="U374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374" s="187">
        <f t="shared" si="102"/>
        <v>0</v>
      </c>
      <c r="W374" s="187">
        <f t="shared" si="103"/>
        <v>0</v>
      </c>
      <c r="X374" s="187">
        <f t="shared" si="104"/>
        <v>0</v>
      </c>
      <c r="Y374" s="187">
        <f t="shared" si="105"/>
        <v>0</v>
      </c>
      <c r="Z374" s="187">
        <f t="shared" si="106"/>
        <v>0.65</v>
      </c>
      <c r="AA374" s="183">
        <f t="shared" si="107"/>
        <v>0</v>
      </c>
      <c r="AB374" s="187">
        <f t="shared" si="108"/>
        <v>0</v>
      </c>
      <c r="AC374" s="183">
        <f t="shared" si="109"/>
        <v>0</v>
      </c>
      <c r="AD374" s="188">
        <f t="shared" si="110"/>
        <v>0.16111111111240461</v>
      </c>
      <c r="AE374" s="188">
        <f t="shared" si="111"/>
        <v>0.16111111111240461</v>
      </c>
      <c r="AF374" s="188">
        <f t="shared" si="112"/>
        <v>0</v>
      </c>
      <c r="AG374" s="188">
        <f t="shared" si="113"/>
        <v>0</v>
      </c>
    </row>
    <row r="375" spans="2:33" ht="15" customHeight="1" x14ac:dyDescent="0.15">
      <c r="B375" s="174" t="s">
        <v>7</v>
      </c>
      <c r="C375" s="175" t="s">
        <v>13</v>
      </c>
      <c r="D375" s="176" t="str">
        <f t="shared" si="95"/>
        <v>C</v>
      </c>
      <c r="E375" s="177" t="d">
        <v>2021-07-19T15:45:00.000</v>
      </c>
      <c r="F375" s="178" t="s">
        <v>103</v>
      </c>
      <c r="G375" s="179">
        <v>109.48699999999999</v>
      </c>
      <c r="H375" s="179">
        <v>109.661</v>
      </c>
      <c r="I375" s="180">
        <f t="shared" si="96"/>
        <v>0.17400000000000659</v>
      </c>
      <c r="J375" s="179">
        <v>108.393</v>
      </c>
      <c r="K375" s="177" t="d">
        <v>2021-07-19T17:39:00.00000029336660775</v>
      </c>
      <c r="L375" s="179">
        <v>109.398</v>
      </c>
      <c r="M375" s="181">
        <f t="shared" si="97"/>
        <v>8.8999999999999996E-2</v>
      </c>
      <c r="N375" s="182">
        <f t="shared" si="98"/>
        <v>0.51</v>
      </c>
      <c r="O375" s="183">
        <f t="shared" si="99"/>
        <v>0</v>
      </c>
      <c r="P375" s="184">
        <f t="shared" si="100"/>
        <v>0.51</v>
      </c>
      <c r="Q375" s="184">
        <f t="shared" si="101"/>
        <v>0</v>
      </c>
      <c r="R37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47235</v>
      </c>
      <c r="T37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47235</v>
      </c>
      <c r="U375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375" s="187">
        <f t="shared" si="102"/>
        <v>0.51</v>
      </c>
      <c r="W375" s="187">
        <f t="shared" si="103"/>
        <v>0</v>
      </c>
      <c r="X375" s="187">
        <f t="shared" si="104"/>
        <v>0</v>
      </c>
      <c r="Y375" s="187">
        <f t="shared" si="105"/>
        <v>0</v>
      </c>
      <c r="Z375" s="187">
        <f t="shared" si="106"/>
        <v>0</v>
      </c>
      <c r="AA375" s="183">
        <f t="shared" si="107"/>
        <v>0</v>
      </c>
      <c r="AB375" s="187">
        <f t="shared" si="108"/>
        <v>0</v>
      </c>
      <c r="AC375" s="183">
        <f t="shared" si="109"/>
        <v>0</v>
      </c>
      <c r="AD375" s="188">
        <f t="shared" si="110"/>
        <v>7.9166666670062114E-2</v>
      </c>
      <c r="AE375" s="188">
        <f t="shared" si="111"/>
        <v>7.9166666670062114E-2</v>
      </c>
      <c r="AF375" s="188">
        <f t="shared" si="112"/>
        <v>0</v>
      </c>
      <c r="AG375" s="188">
        <f t="shared" si="113"/>
        <v>0</v>
      </c>
    </row>
    <row r="376" spans="2:33" ht="15" customHeight="1" x14ac:dyDescent="0.15">
      <c r="B376" s="174" t="s">
        <v>5</v>
      </c>
      <c r="C376" s="175" t="s">
        <v>13</v>
      </c>
      <c r="D376" s="176" t="str">
        <f t="shared" si="95"/>
        <v>C</v>
      </c>
      <c r="E376" s="177" t="d">
        <v>2021-07-16T17:29:59.99999979045242400</v>
      </c>
      <c r="F376" s="178" t="s">
        <v>82</v>
      </c>
      <c r="G376" s="179">
        <v>4345.3900000000003</v>
      </c>
      <c r="H376" s="179">
        <v>4359.2</v>
      </c>
      <c r="I376" s="180">
        <f t="shared" si="96"/>
        <v>13.809999999999491</v>
      </c>
      <c r="J376" s="179">
        <v>4255.63</v>
      </c>
      <c r="K376" s="177" t="d">
        <v>2021-07-19T16:51:59.99999990221113300</v>
      </c>
      <c r="L376" s="179">
        <v>4255.63</v>
      </c>
      <c r="M376" s="181">
        <f t="shared" si="97"/>
        <v>89.76</v>
      </c>
      <c r="N376" s="182">
        <f t="shared" si="98"/>
        <v>6.5</v>
      </c>
      <c r="O376" s="183">
        <f t="shared" si="99"/>
        <v>0</v>
      </c>
      <c r="P376" s="184">
        <f t="shared" si="100"/>
        <v>6.5</v>
      </c>
      <c r="Q376" s="184">
        <f t="shared" si="101"/>
        <v>0</v>
      </c>
      <c r="R37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47107.5</v>
      </c>
      <c r="T37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47107.5</v>
      </c>
      <c r="U376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376" s="187">
        <f t="shared" si="102"/>
        <v>0</v>
      </c>
      <c r="W376" s="187">
        <f t="shared" si="103"/>
        <v>0</v>
      </c>
      <c r="X376" s="187">
        <f t="shared" si="104"/>
        <v>0</v>
      </c>
      <c r="Y376" s="187">
        <f t="shared" si="105"/>
        <v>0</v>
      </c>
      <c r="Z376" s="187">
        <f t="shared" si="106"/>
        <v>6.5</v>
      </c>
      <c r="AA376" s="183">
        <f t="shared" si="107"/>
        <v>0</v>
      </c>
      <c r="AB376" s="187">
        <f t="shared" si="108"/>
        <v>0</v>
      </c>
      <c r="AC376" s="183">
        <f t="shared" si="109"/>
        <v>0</v>
      </c>
      <c r="AD376" s="188">
        <f t="shared" si="110"/>
        <v>2.9736111111124046</v>
      </c>
      <c r="AE376" s="188">
        <f t="shared" si="111"/>
        <v>2.9736111111124046</v>
      </c>
      <c r="AF376" s="188">
        <f t="shared" si="112"/>
        <v>0</v>
      </c>
      <c r="AG376" s="188">
        <f t="shared" si="113"/>
        <v>0</v>
      </c>
    </row>
    <row r="377" spans="2:33" ht="15" customHeight="1" x14ac:dyDescent="0.15">
      <c r="B377" s="174" t="s">
        <v>5</v>
      </c>
      <c r="C377" s="175" t="s">
        <v>13</v>
      </c>
      <c r="D377" s="176" t="str">
        <f t="shared" si="95"/>
        <v>C</v>
      </c>
      <c r="E377" s="177" t="d">
        <v>2021-07-16T17:00:00.00000020954757600</v>
      </c>
      <c r="F377" s="178" t="s">
        <v>80</v>
      </c>
      <c r="G377" s="179">
        <v>15566.62</v>
      </c>
      <c r="H377" s="179">
        <v>15626.72</v>
      </c>
      <c r="I377" s="180">
        <f t="shared" si="96"/>
        <v>60.099999999998545</v>
      </c>
      <c r="J377" s="179">
        <v>15125.9</v>
      </c>
      <c r="K377" s="177" t="d">
        <v>2021-07-19T14:39:00.00000029336660775</v>
      </c>
      <c r="L377" s="179">
        <v>15125.9</v>
      </c>
      <c r="M377" s="181">
        <f t="shared" si="97"/>
        <v>440.72</v>
      </c>
      <c r="N377" s="182">
        <f t="shared" si="98"/>
        <v>7.33</v>
      </c>
      <c r="O377" s="183">
        <f t="shared" si="99"/>
        <v>0</v>
      </c>
      <c r="P377" s="184">
        <f t="shared" si="100"/>
        <v>7.33</v>
      </c>
      <c r="Q377" s="184">
        <f t="shared" si="101"/>
        <v>0</v>
      </c>
      <c r="R37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45482.5</v>
      </c>
      <c r="T37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45482.5</v>
      </c>
      <c r="U377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377" s="187">
        <f t="shared" si="102"/>
        <v>0</v>
      </c>
      <c r="W377" s="187">
        <f t="shared" si="103"/>
        <v>0</v>
      </c>
      <c r="X377" s="187">
        <f t="shared" si="104"/>
        <v>0</v>
      </c>
      <c r="Y377" s="187">
        <f t="shared" si="105"/>
        <v>0</v>
      </c>
      <c r="Z377" s="187">
        <f t="shared" si="106"/>
        <v>7.33</v>
      </c>
      <c r="AA377" s="183">
        <f t="shared" si="107"/>
        <v>0</v>
      </c>
      <c r="AB377" s="187">
        <f t="shared" si="108"/>
        <v>0</v>
      </c>
      <c r="AC377" s="183">
        <f t="shared" si="109"/>
        <v>0</v>
      </c>
      <c r="AD377" s="188">
        <f t="shared" si="110"/>
        <v>2.9020833333343035</v>
      </c>
      <c r="AE377" s="188">
        <f t="shared" si="111"/>
        <v>2.9020833333343035</v>
      </c>
      <c r="AF377" s="188">
        <f t="shared" si="112"/>
        <v>0</v>
      </c>
      <c r="AG377" s="188">
        <f t="shared" si="113"/>
        <v>0</v>
      </c>
    </row>
    <row r="378" spans="2:33" ht="15" customHeight="1" x14ac:dyDescent="0.15">
      <c r="B378" s="174" t="s">
        <v>7</v>
      </c>
      <c r="C378" s="175" t="s">
        <v>13</v>
      </c>
      <c r="D378" s="176" t="str">
        <f t="shared" si="95"/>
        <v>C</v>
      </c>
      <c r="E378" s="177" t="d">
        <v>2021-07-16T21:59:59.99999979045242400</v>
      </c>
      <c r="F378" s="178" t="s">
        <v>102</v>
      </c>
      <c r="G378" s="179">
        <v>151.54400000000001</v>
      </c>
      <c r="H378" s="179">
        <v>151.88300000000001</v>
      </c>
      <c r="I378" s="180">
        <f t="shared" si="96"/>
        <v>0.33899999999999864</v>
      </c>
      <c r="J378" s="179">
        <v>149.738</v>
      </c>
      <c r="K378" s="177" t="d">
        <v>2021-07-19T12:39:00.00000008381903175</v>
      </c>
      <c r="L378" s="179">
        <v>150.845</v>
      </c>
      <c r="M378" s="181">
        <f t="shared" si="97"/>
        <v>0.69899999999999995</v>
      </c>
      <c r="N378" s="182">
        <f t="shared" si="98"/>
        <v>2.06</v>
      </c>
      <c r="O378" s="183">
        <f t="shared" si="99"/>
        <v>0</v>
      </c>
      <c r="P378" s="184">
        <f t="shared" si="100"/>
        <v>2.06</v>
      </c>
      <c r="Q378" s="184">
        <f t="shared" si="101"/>
        <v>0</v>
      </c>
      <c r="R37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43650</v>
      </c>
      <c r="T37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44227.5</v>
      </c>
      <c r="U378" s="186">
        <f ca="1">IF(Tabla33610673[[#This Row],[Equity]]&lt;Tabla33610673[[#This Row],[Equity Peak]],(Tabla33610673[[#This Row],[Equity Peak]]-Tabla33610673[[#This Row],[Equity]])/Tabla33610673[[#This Row],[Equity Peak]],"")</f>
        <v>1.3057486857724267E-2</v>
      </c>
      <c r="V378" s="187">
        <f t="shared" si="102"/>
        <v>2.06</v>
      </c>
      <c r="W378" s="187">
        <f t="shared" si="103"/>
        <v>0</v>
      </c>
      <c r="X378" s="187">
        <f t="shared" si="104"/>
        <v>0</v>
      </c>
      <c r="Y378" s="187">
        <f t="shared" si="105"/>
        <v>0</v>
      </c>
      <c r="Z378" s="187">
        <f t="shared" si="106"/>
        <v>0</v>
      </c>
      <c r="AA378" s="183">
        <f t="shared" si="107"/>
        <v>0</v>
      </c>
      <c r="AB378" s="187">
        <f t="shared" si="108"/>
        <v>0</v>
      </c>
      <c r="AC378" s="183">
        <f t="shared" si="109"/>
        <v>0</v>
      </c>
      <c r="AD378" s="188">
        <f t="shared" si="110"/>
        <v>2.6104166666700621</v>
      </c>
      <c r="AE378" s="188">
        <f t="shared" si="111"/>
        <v>2.6104166666700621</v>
      </c>
      <c r="AF378" s="188">
        <f t="shared" si="112"/>
        <v>0</v>
      </c>
      <c r="AG378" s="188">
        <f t="shared" si="113"/>
        <v>0</v>
      </c>
    </row>
    <row r="379" spans="2:33" ht="15" customHeight="1" x14ac:dyDescent="0.15">
      <c r="B379" s="174" t="s">
        <v>5</v>
      </c>
      <c r="C379" s="175" t="s">
        <v>15</v>
      </c>
      <c r="D379" s="176" t="str">
        <f t="shared" si="95"/>
        <v>C</v>
      </c>
      <c r="E379" s="177" t="d">
        <v>2021-07-16T12:14:59.99999979045242400</v>
      </c>
      <c r="F379" s="178" t="s">
        <v>82</v>
      </c>
      <c r="G379" s="179">
        <v>4367.8900000000003</v>
      </c>
      <c r="H379" s="179">
        <v>4354.3999999999996</v>
      </c>
      <c r="I379" s="180">
        <f t="shared" si="96"/>
        <v>13.490000000000691</v>
      </c>
      <c r="J379" s="179">
        <v>4455.59</v>
      </c>
      <c r="K379" s="177" t="d">
        <v>2021-07-16T17:06:00.00000012572854425</v>
      </c>
      <c r="L379" s="179">
        <v>4359.6899999999996</v>
      </c>
      <c r="M379" s="181">
        <f t="shared" si="97"/>
        <v>-8.1999999999999993</v>
      </c>
      <c r="N379" s="182">
        <f t="shared" si="98"/>
        <v>-0.61</v>
      </c>
      <c r="O379" s="183">
        <f t="shared" si="99"/>
        <v>0</v>
      </c>
      <c r="P379" s="184">
        <f t="shared" si="100"/>
        <v>0</v>
      </c>
      <c r="Q379" s="184">
        <f t="shared" si="101"/>
        <v>-0.61</v>
      </c>
      <c r="R37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43135</v>
      </c>
      <c r="T37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44227.5</v>
      </c>
      <c r="U379" s="186">
        <f ca="1">IF(Tabla33610673[[#This Row],[Equity]]&lt;Tabla33610673[[#This Row],[Equity Peak]],(Tabla33610673[[#This Row],[Equity Peak]]-Tabla33610673[[#This Row],[Equity]])/Tabla33610673[[#This Row],[Equity Peak]],"")</f>
        <v>2.4701825787123394E-2</v>
      </c>
      <c r="V379" s="187">
        <f t="shared" si="102"/>
        <v>0</v>
      </c>
      <c r="W379" s="187">
        <f t="shared" si="103"/>
        <v>0</v>
      </c>
      <c r="X379" s="187">
        <f t="shared" si="104"/>
        <v>0</v>
      </c>
      <c r="Y379" s="187">
        <f t="shared" si="105"/>
        <v>0</v>
      </c>
      <c r="Z379" s="187">
        <f t="shared" si="106"/>
        <v>-0.61</v>
      </c>
      <c r="AA379" s="183">
        <f t="shared" si="107"/>
        <v>0</v>
      </c>
      <c r="AB379" s="187">
        <f t="shared" si="108"/>
        <v>0</v>
      </c>
      <c r="AC379" s="183">
        <f t="shared" si="109"/>
        <v>0</v>
      </c>
      <c r="AD379" s="188">
        <f t="shared" si="110"/>
        <v>0.20208333333721384</v>
      </c>
      <c r="AE379" s="188">
        <f t="shared" si="111"/>
        <v>0</v>
      </c>
      <c r="AF379" s="188">
        <f t="shared" si="112"/>
        <v>0.20208333333721384</v>
      </c>
      <c r="AG379" s="188">
        <f t="shared" si="113"/>
        <v>0</v>
      </c>
    </row>
    <row r="380" spans="2:33" ht="15" customHeight="1" x14ac:dyDescent="0.15">
      <c r="B380" s="174" t="s">
        <v>5</v>
      </c>
      <c r="C380" s="175" t="s">
        <v>13</v>
      </c>
      <c r="D380" s="176" t="str">
        <f t="shared" si="95"/>
        <v>C</v>
      </c>
      <c r="E380" s="177" t="d">
        <v>2021-07-15T14:29:59.99999979045242400</v>
      </c>
      <c r="F380" s="178" t="s">
        <v>82</v>
      </c>
      <c r="G380" s="179">
        <v>4355.91</v>
      </c>
      <c r="H380" s="179">
        <v>4369.2299999999996</v>
      </c>
      <c r="I380" s="180">
        <f t="shared" si="96"/>
        <v>13.319999999999709</v>
      </c>
      <c r="J380" s="179">
        <v>4269.3100000000004</v>
      </c>
      <c r="K380" s="177" t="d">
        <v>2021-07-15T21:56:59.99999983236193650</v>
      </c>
      <c r="L380" s="179">
        <v>4354.83</v>
      </c>
      <c r="M380" s="181">
        <f t="shared" si="97"/>
        <v>1.08</v>
      </c>
      <c r="N380" s="182">
        <f t="shared" si="98"/>
        <v>0.08</v>
      </c>
      <c r="O380" s="183">
        <f t="shared" si="99"/>
        <v>0</v>
      </c>
      <c r="P380" s="184">
        <f t="shared" si="100"/>
        <v>0.08</v>
      </c>
      <c r="Q380" s="184">
        <f t="shared" si="101"/>
        <v>0</v>
      </c>
      <c r="R38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43287.5</v>
      </c>
      <c r="T38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44227.5</v>
      </c>
      <c r="U380" s="186">
        <f ca="1">IF(Tabla33610673[[#This Row],[Equity]]&lt;Tabla33610673[[#This Row],[Equity Peak]],(Tabla33610673[[#This Row],[Equity Peak]]-Tabla33610673[[#This Row],[Equity]])/Tabla33610673[[#This Row],[Equity Peak]],"")</f>
        <v>2.125374484201006E-2</v>
      </c>
      <c r="V380" s="187">
        <f t="shared" si="102"/>
        <v>0</v>
      </c>
      <c r="W380" s="187">
        <f t="shared" si="103"/>
        <v>0</v>
      </c>
      <c r="X380" s="187">
        <f t="shared" si="104"/>
        <v>0</v>
      </c>
      <c r="Y380" s="187">
        <f t="shared" si="105"/>
        <v>0</v>
      </c>
      <c r="Z380" s="187">
        <f t="shared" si="106"/>
        <v>0.08</v>
      </c>
      <c r="AA380" s="183">
        <f t="shared" si="107"/>
        <v>0</v>
      </c>
      <c r="AB380" s="187">
        <f t="shared" si="108"/>
        <v>0</v>
      </c>
      <c r="AC380" s="183">
        <f t="shared" si="109"/>
        <v>0</v>
      </c>
      <c r="AD380" s="188">
        <f t="shared" si="110"/>
        <v>0.31041666666715173</v>
      </c>
      <c r="AE380" s="188">
        <f t="shared" si="111"/>
        <v>0.31041666666715173</v>
      </c>
      <c r="AF380" s="188">
        <f t="shared" si="112"/>
        <v>0</v>
      </c>
      <c r="AG380" s="188">
        <f t="shared" si="113"/>
        <v>0</v>
      </c>
    </row>
    <row r="381" spans="2:33" ht="15" customHeight="1" x14ac:dyDescent="0.15">
      <c r="B381" s="174" t="s">
        <v>7</v>
      </c>
      <c r="C381" s="175" t="s">
        <v>13</v>
      </c>
      <c r="D381" s="176" t="str">
        <f t="shared" si="95"/>
        <v>C</v>
      </c>
      <c r="E381" s="177" t="d">
        <v>2021-07-15T10:30:00.000</v>
      </c>
      <c r="F381" s="178" t="s">
        <v>102</v>
      </c>
      <c r="G381" s="179">
        <v>151.73099999999999</v>
      </c>
      <c r="H381" s="179">
        <v>152.02099999999999</v>
      </c>
      <c r="I381" s="180">
        <f t="shared" si="96"/>
        <v>0.28999999999999204</v>
      </c>
      <c r="J381" s="179">
        <v>150.18199999999999</v>
      </c>
      <c r="K381" s="177" t="d">
        <v>2021-07-15T11:39:00.00000029336660775</v>
      </c>
      <c r="L381" s="179">
        <v>152.02099999999999</v>
      </c>
      <c r="M381" s="181">
        <f t="shared" si="97"/>
        <v>-0.28999999999999998</v>
      </c>
      <c r="N381" s="182">
        <f t="shared" si="98"/>
        <v>-1</v>
      </c>
      <c r="O381" s="183">
        <f t="shared" si="99"/>
        <v>0</v>
      </c>
      <c r="P381" s="184">
        <f t="shared" si="100"/>
        <v>0</v>
      </c>
      <c r="Q381" s="184">
        <f t="shared" si="101"/>
        <v>-1</v>
      </c>
      <c r="R38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43267.5</v>
      </c>
      <c r="T38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44227.5</v>
      </c>
      <c r="U381" s="186">
        <f ca="1">IF(Tabla33610673[[#This Row],[Equity]]&lt;Tabla33610673[[#This Row],[Equity Peak]],(Tabla33610673[[#This Row],[Equity Peak]]-Tabla33610673[[#This Row],[Equity]])/Tabla33610673[[#This Row],[Equity Peak]],"")</f>
        <v>2.1705952179074107E-2</v>
      </c>
      <c r="V381" s="187">
        <f t="shared" si="102"/>
        <v>-1</v>
      </c>
      <c r="W381" s="187">
        <f t="shared" si="103"/>
        <v>0</v>
      </c>
      <c r="X381" s="187">
        <f t="shared" si="104"/>
        <v>0</v>
      </c>
      <c r="Y381" s="187">
        <f t="shared" si="105"/>
        <v>0</v>
      </c>
      <c r="Z381" s="187">
        <f t="shared" si="106"/>
        <v>0</v>
      </c>
      <c r="AA381" s="183">
        <f t="shared" si="107"/>
        <v>0</v>
      </c>
      <c r="AB381" s="187">
        <f t="shared" si="108"/>
        <v>0</v>
      </c>
      <c r="AC381" s="183">
        <f t="shared" si="109"/>
        <v>0</v>
      </c>
      <c r="AD381" s="188">
        <f t="shared" si="110"/>
        <v>4.7916666670062114E-2</v>
      </c>
      <c r="AE381" s="188">
        <f t="shared" si="111"/>
        <v>0</v>
      </c>
      <c r="AF381" s="188">
        <f t="shared" si="112"/>
        <v>4.7916666670062114E-2</v>
      </c>
      <c r="AG381" s="188">
        <f t="shared" si="113"/>
        <v>0</v>
      </c>
    </row>
    <row r="382" spans="2:33" ht="15" customHeight="1" x14ac:dyDescent="0.15">
      <c r="B382" s="174" t="s">
        <v>7</v>
      </c>
      <c r="C382" s="175" t="s">
        <v>13</v>
      </c>
      <c r="D382" s="176" t="str">
        <f t="shared" si="95"/>
        <v>C</v>
      </c>
      <c r="E382" s="177" t="d">
        <v>2021-07-15T03:30:00.00000020954757600</v>
      </c>
      <c r="F382" s="178" t="s">
        <v>102</v>
      </c>
      <c r="G382" s="179">
        <v>152.233</v>
      </c>
      <c r="H382" s="179">
        <v>152.495</v>
      </c>
      <c r="I382" s="180">
        <f t="shared" si="96"/>
        <v>0.26200000000000045</v>
      </c>
      <c r="J382" s="179">
        <v>150.834</v>
      </c>
      <c r="K382" s="177" t="d">
        <v>2021-07-15T09:39:00.00000008381903175</v>
      </c>
      <c r="L382" s="179">
        <v>152.25399999999999</v>
      </c>
      <c r="M382" s="181">
        <f t="shared" si="97"/>
        <v>-2.1000000000000001E-2</v>
      </c>
      <c r="N382" s="182">
        <f t="shared" si="98"/>
        <v>-0.08</v>
      </c>
      <c r="O382" s="183">
        <f t="shared" si="99"/>
        <v>0</v>
      </c>
      <c r="P382" s="184">
        <f t="shared" si="100"/>
        <v>0</v>
      </c>
      <c r="Q382" s="184">
        <f t="shared" si="101"/>
        <v>-0.08</v>
      </c>
      <c r="R38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43517.5</v>
      </c>
      <c r="T38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44227.5</v>
      </c>
      <c r="U382" s="186">
        <f ca="1">IF(Tabla33610673[[#This Row],[Equity]]&lt;Tabla33610673[[#This Row],[Equity Peak]],(Tabla33610673[[#This Row],[Equity Peak]]-Tabla33610673[[#This Row],[Equity]])/Tabla33610673[[#This Row],[Equity Peak]],"")</f>
        <v>1.6053360465773558E-2</v>
      </c>
      <c r="V382" s="187">
        <f t="shared" si="102"/>
        <v>-0.08</v>
      </c>
      <c r="W382" s="187">
        <f t="shared" si="103"/>
        <v>0</v>
      </c>
      <c r="X382" s="187">
        <f t="shared" si="104"/>
        <v>0</v>
      </c>
      <c r="Y382" s="187">
        <f t="shared" si="105"/>
        <v>0</v>
      </c>
      <c r="Z382" s="187">
        <f t="shared" si="106"/>
        <v>0</v>
      </c>
      <c r="AA382" s="183">
        <f t="shared" si="107"/>
        <v>0</v>
      </c>
      <c r="AB382" s="187">
        <f t="shared" si="108"/>
        <v>0</v>
      </c>
      <c r="AC382" s="183">
        <f t="shared" si="109"/>
        <v>0</v>
      </c>
      <c r="AD382" s="188">
        <f t="shared" si="110"/>
        <v>0.25624999999854481</v>
      </c>
      <c r="AE382" s="188">
        <f t="shared" si="111"/>
        <v>0</v>
      </c>
      <c r="AF382" s="188">
        <f t="shared" si="112"/>
        <v>0.25624999999854481</v>
      </c>
      <c r="AG382" s="188">
        <f t="shared" si="113"/>
        <v>0</v>
      </c>
    </row>
    <row r="383" spans="2:33" ht="15" customHeight="1" x14ac:dyDescent="0.15">
      <c r="B383" s="174" t="s">
        <v>5</v>
      </c>
      <c r="C383" s="175" t="s">
        <v>15</v>
      </c>
      <c r="D383" s="176" t="str">
        <f t="shared" si="95"/>
        <v>C</v>
      </c>
      <c r="E383" s="177" t="d">
        <v>2021-07-14T15:00:00.000</v>
      </c>
      <c r="F383" s="178" t="s">
        <v>82</v>
      </c>
      <c r="G383" s="179">
        <v>4376.6499999999996</v>
      </c>
      <c r="H383" s="179">
        <v>4361.58</v>
      </c>
      <c r="I383" s="180">
        <f t="shared" si="96"/>
        <v>15.069999999999709</v>
      </c>
      <c r="J383" s="179">
        <v>4474.6000000000004</v>
      </c>
      <c r="K383" s="177" t="d">
        <v>2021-07-14T18:21:59.99999990221113300</v>
      </c>
      <c r="L383" s="179">
        <v>4374.42</v>
      </c>
      <c r="M383" s="181">
        <f t="shared" si="97"/>
        <v>-2.23</v>
      </c>
      <c r="N383" s="182">
        <f t="shared" si="98"/>
        <v>-0.15</v>
      </c>
      <c r="O383" s="183">
        <f t="shared" si="99"/>
        <v>0</v>
      </c>
      <c r="P383" s="184">
        <f t="shared" si="100"/>
        <v>0</v>
      </c>
      <c r="Q383" s="184">
        <f t="shared" si="101"/>
        <v>-0.15</v>
      </c>
      <c r="R38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43537.5</v>
      </c>
      <c r="T38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44227.5</v>
      </c>
      <c r="U383" s="186">
        <f ca="1">IF(Tabla33610673[[#This Row],[Equity]]&lt;Tabla33610673[[#This Row],[Equity Peak]],(Tabla33610673[[#This Row],[Equity Peak]]-Tabla33610673[[#This Row],[Equity]])/Tabla33610673[[#This Row],[Equity Peak]],"")</f>
        <v>1.5601153128709513E-2</v>
      </c>
      <c r="V383" s="187">
        <f t="shared" si="102"/>
        <v>0</v>
      </c>
      <c r="W383" s="187">
        <f t="shared" si="103"/>
        <v>0</v>
      </c>
      <c r="X383" s="187">
        <f t="shared" si="104"/>
        <v>0</v>
      </c>
      <c r="Y383" s="187">
        <f t="shared" si="105"/>
        <v>0</v>
      </c>
      <c r="Z383" s="187">
        <f t="shared" si="106"/>
        <v>-0.15</v>
      </c>
      <c r="AA383" s="183">
        <f t="shared" si="107"/>
        <v>0</v>
      </c>
      <c r="AB383" s="187">
        <f t="shared" si="108"/>
        <v>0</v>
      </c>
      <c r="AC383" s="183">
        <f t="shared" si="109"/>
        <v>0</v>
      </c>
      <c r="AD383" s="188">
        <f t="shared" si="110"/>
        <v>0.14027777777664596</v>
      </c>
      <c r="AE383" s="188">
        <f t="shared" si="111"/>
        <v>0</v>
      </c>
      <c r="AF383" s="188">
        <f t="shared" si="112"/>
        <v>0.14027777777664596</v>
      </c>
      <c r="AG383" s="188">
        <f t="shared" si="113"/>
        <v>0</v>
      </c>
    </row>
    <row r="384" spans="2:33" ht="15" customHeight="1" x14ac:dyDescent="0.15">
      <c r="B384" s="174" t="s">
        <v>19</v>
      </c>
      <c r="C384" s="175" t="s">
        <v>15</v>
      </c>
      <c r="D384" s="176" t="str">
        <f t="shared" si="95"/>
        <v>C</v>
      </c>
      <c r="E384" s="177" t="d">
        <v>2021-07-14T13:44:59.99999979045242400</v>
      </c>
      <c r="F384" s="178" t="s">
        <v>77</v>
      </c>
      <c r="G384" s="179">
        <v>1816.17</v>
      </c>
      <c r="H384" s="179">
        <v>1811.03</v>
      </c>
      <c r="I384" s="180">
        <f t="shared" si="96"/>
        <v>5.1400000000001</v>
      </c>
      <c r="J384" s="179">
        <v>1840.84</v>
      </c>
      <c r="K384" s="177" t="d">
        <v>2021-07-14T16:51:59.99999990221113300</v>
      </c>
      <c r="L384" s="179">
        <v>1823.37</v>
      </c>
      <c r="M384" s="181">
        <f t="shared" si="97"/>
        <v>7.2</v>
      </c>
      <c r="N384" s="182">
        <f t="shared" si="98"/>
        <v>1.4</v>
      </c>
      <c r="O384" s="183">
        <f t="shared" si="99"/>
        <v>0</v>
      </c>
      <c r="P384" s="184">
        <f t="shared" si="100"/>
        <v>1.4</v>
      </c>
      <c r="Q384" s="184">
        <f t="shared" si="101"/>
        <v>0</v>
      </c>
      <c r="R38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43575</v>
      </c>
      <c r="T38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44227.5</v>
      </c>
      <c r="U384" s="186">
        <f ca="1">IF(Tabla33610673[[#This Row],[Equity]]&lt;Tabla33610673[[#This Row],[Equity Peak]],(Tabla33610673[[#This Row],[Equity Peak]]-Tabla33610673[[#This Row],[Equity]])/Tabla33610673[[#This Row],[Equity Peak]],"")</f>
        <v>1.475326437171443E-2</v>
      </c>
      <c r="V384" s="187">
        <f t="shared" si="102"/>
        <v>0</v>
      </c>
      <c r="W384" s="187">
        <f t="shared" si="103"/>
        <v>0</v>
      </c>
      <c r="X384" s="187">
        <f t="shared" si="104"/>
        <v>1.4</v>
      </c>
      <c r="Y384" s="187">
        <f t="shared" si="105"/>
        <v>0</v>
      </c>
      <c r="Z384" s="187">
        <f t="shared" si="106"/>
        <v>0</v>
      </c>
      <c r="AA384" s="183">
        <f t="shared" si="107"/>
        <v>0</v>
      </c>
      <c r="AB384" s="187">
        <f t="shared" si="108"/>
        <v>0</v>
      </c>
      <c r="AC384" s="183">
        <f t="shared" si="109"/>
        <v>0</v>
      </c>
      <c r="AD384" s="188">
        <f t="shared" si="110"/>
        <v>0.12986111111240461</v>
      </c>
      <c r="AE384" s="188">
        <f t="shared" si="111"/>
        <v>0.12986111111240461</v>
      </c>
      <c r="AF384" s="188">
        <f t="shared" si="112"/>
        <v>0</v>
      </c>
      <c r="AG384" s="188">
        <f t="shared" si="113"/>
        <v>0</v>
      </c>
    </row>
    <row r="385" spans="2:33" ht="15" customHeight="1" x14ac:dyDescent="0.15">
      <c r="B385" s="174" t="s">
        <v>5</v>
      </c>
      <c r="C385" s="175" t="s">
        <v>15</v>
      </c>
      <c r="D385" s="176" t="str">
        <f t="shared" si="95"/>
        <v>C</v>
      </c>
      <c r="E385" s="177" t="d">
        <v>2021-07-12T16:44:59.99999979045242400</v>
      </c>
      <c r="F385" s="178" t="s">
        <v>80</v>
      </c>
      <c r="G385" s="179">
        <v>15746.66</v>
      </c>
      <c r="H385" s="179">
        <v>15688.14</v>
      </c>
      <c r="I385" s="180">
        <f t="shared" si="96"/>
        <v>58.520000000000437</v>
      </c>
      <c r="J385" s="179">
        <v>16175.84</v>
      </c>
      <c r="K385" s="177" t="d">
        <v>2021-07-14T09:08:59.99999987427145575</v>
      </c>
      <c r="L385" s="179">
        <v>15735.51</v>
      </c>
      <c r="M385" s="181">
        <f t="shared" si="97"/>
        <v>-11.15</v>
      </c>
      <c r="N385" s="182">
        <f t="shared" si="98"/>
        <v>-0.19</v>
      </c>
      <c r="O385" s="183">
        <f t="shared" si="99"/>
        <v>0</v>
      </c>
      <c r="P385" s="184">
        <f t="shared" si="100"/>
        <v>0</v>
      </c>
      <c r="Q385" s="184">
        <f t="shared" si="101"/>
        <v>-0.19</v>
      </c>
      <c r="R38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43225</v>
      </c>
      <c r="T38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44227.5</v>
      </c>
      <c r="U385" s="186">
        <f ca="1">IF(Tabla33610673[[#This Row],[Equity]]&lt;Tabla33610673[[#This Row],[Equity Peak]],(Tabla33610673[[#This Row],[Equity Peak]]-Tabla33610673[[#This Row],[Equity]])/Tabla33610673[[#This Row],[Equity Peak]],"")</f>
        <v>2.2666892770335199E-2</v>
      </c>
      <c r="V385" s="187">
        <f t="shared" si="102"/>
        <v>0</v>
      </c>
      <c r="W385" s="187">
        <f t="shared" si="103"/>
        <v>0</v>
      </c>
      <c r="X385" s="187">
        <f t="shared" si="104"/>
        <v>0</v>
      </c>
      <c r="Y385" s="187">
        <f t="shared" si="105"/>
        <v>0</v>
      </c>
      <c r="Z385" s="187">
        <f t="shared" si="106"/>
        <v>-0.19</v>
      </c>
      <c r="AA385" s="183">
        <f t="shared" si="107"/>
        <v>0</v>
      </c>
      <c r="AB385" s="187">
        <f t="shared" si="108"/>
        <v>0</v>
      </c>
      <c r="AC385" s="183">
        <f t="shared" si="109"/>
        <v>0</v>
      </c>
      <c r="AD385" s="188">
        <f t="shared" si="110"/>
        <v>1.6833333333343035</v>
      </c>
      <c r="AE385" s="188">
        <f t="shared" si="111"/>
        <v>0</v>
      </c>
      <c r="AF385" s="188">
        <f t="shared" si="112"/>
        <v>1.6833333333343035</v>
      </c>
      <c r="AG385" s="188">
        <f t="shared" si="113"/>
        <v>0</v>
      </c>
    </row>
    <row r="386" spans="2:33" ht="15" customHeight="1" x14ac:dyDescent="0.15">
      <c r="B386" s="174" t="s">
        <v>5</v>
      </c>
      <c r="C386" s="175" t="s">
        <v>15</v>
      </c>
      <c r="D386" s="176" t="str">
        <f t="shared" si="95"/>
        <v>C</v>
      </c>
      <c r="E386" s="177" t="d">
        <v>2021-07-13T18:30:00.00000020954757600</v>
      </c>
      <c r="F386" s="178" t="s">
        <v>82</v>
      </c>
      <c r="G386" s="179">
        <v>4390.82</v>
      </c>
      <c r="H386" s="179">
        <v>4375.6400000000003</v>
      </c>
      <c r="I386" s="180">
        <f t="shared" si="96"/>
        <v>15.179999999999382</v>
      </c>
      <c r="J386" s="179">
        <v>4489.51</v>
      </c>
      <c r="K386" s="177" t="d">
        <v>2021-07-13T20:23:59.99999987427145575</v>
      </c>
      <c r="L386" s="179">
        <v>4375.6400000000003</v>
      </c>
      <c r="M386" s="181">
        <f t="shared" si="97"/>
        <v>-15.18</v>
      </c>
      <c r="N386" s="182">
        <f t="shared" si="98"/>
        <v>-1</v>
      </c>
      <c r="O386" s="183">
        <f t="shared" si="99"/>
        <v>0</v>
      </c>
      <c r="P386" s="184">
        <f t="shared" si="100"/>
        <v>0</v>
      </c>
      <c r="Q386" s="184">
        <f t="shared" si="101"/>
        <v>-1</v>
      </c>
      <c r="R38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43272.5</v>
      </c>
      <c r="T38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44227.5</v>
      </c>
      <c r="U386" s="186">
        <f ca="1">IF(Tabla33610673[[#This Row],[Equity]]&lt;Tabla33610673[[#This Row],[Equity Peak]],(Tabla33610673[[#This Row],[Equity Peak]]-Tabla33610673[[#This Row],[Equity]])/Tabla33610673[[#This Row],[Equity Peak]],"")</f>
        <v>2.1592900344808093E-2</v>
      </c>
      <c r="V386" s="187">
        <f t="shared" si="102"/>
        <v>0</v>
      </c>
      <c r="W386" s="187">
        <f t="shared" si="103"/>
        <v>0</v>
      </c>
      <c r="X386" s="187">
        <f t="shared" si="104"/>
        <v>0</v>
      </c>
      <c r="Y386" s="187">
        <f t="shared" si="105"/>
        <v>0</v>
      </c>
      <c r="Z386" s="187">
        <f t="shared" si="106"/>
        <v>-1</v>
      </c>
      <c r="AA386" s="183">
        <f t="shared" si="107"/>
        <v>0</v>
      </c>
      <c r="AB386" s="187">
        <f t="shared" si="108"/>
        <v>0</v>
      </c>
      <c r="AC386" s="183">
        <f t="shared" si="109"/>
        <v>0</v>
      </c>
      <c r="AD386" s="188">
        <f t="shared" si="110"/>
        <v>7.9166666662786156E-2</v>
      </c>
      <c r="AE386" s="188">
        <f t="shared" si="111"/>
        <v>0</v>
      </c>
      <c r="AF386" s="188">
        <f t="shared" si="112"/>
        <v>7.9166666662786156E-2</v>
      </c>
      <c r="AG386" s="188">
        <f t="shared" si="113"/>
        <v>0</v>
      </c>
    </row>
    <row r="387" spans="2:33" ht="15" customHeight="1" x14ac:dyDescent="0.15">
      <c r="B387" s="174" t="s">
        <v>5</v>
      </c>
      <c r="C387" s="175" t="s">
        <v>15</v>
      </c>
      <c r="D387" s="176" t="str">
        <f t="shared" si="95"/>
        <v>C</v>
      </c>
      <c r="E387" s="177" t="d">
        <v>2021-07-13T17:15:00.000</v>
      </c>
      <c r="F387" s="178" t="s">
        <v>81</v>
      </c>
      <c r="G387" s="179">
        <v>14939.92</v>
      </c>
      <c r="H387" s="179">
        <v>14899.48</v>
      </c>
      <c r="I387" s="180">
        <f t="shared" si="96"/>
        <v>40.440000000000509</v>
      </c>
      <c r="J387" s="179">
        <v>15182.57</v>
      </c>
      <c r="K387" s="177" t="d">
        <v>2021-07-13T20:19:00.00000015366822150</v>
      </c>
      <c r="L387" s="179">
        <v>14937.73</v>
      </c>
      <c r="M387" s="181">
        <f t="shared" si="97"/>
        <v>-2.19</v>
      </c>
      <c r="N387" s="182">
        <f t="shared" si="98"/>
        <v>-0.05</v>
      </c>
      <c r="O387" s="183">
        <f t="shared" si="99"/>
        <v>0</v>
      </c>
      <c r="P387" s="184">
        <f t="shared" si="100"/>
        <v>0</v>
      </c>
      <c r="Q387" s="184">
        <f t="shared" si="101"/>
        <v>-0.05</v>
      </c>
      <c r="R38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43522.5</v>
      </c>
      <c r="T38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44227.5</v>
      </c>
      <c r="U387" s="186">
        <f ca="1">IF(Tabla33610673[[#This Row],[Equity]]&lt;Tabla33610673[[#This Row],[Equity Peak]],(Tabla33610673[[#This Row],[Equity Peak]]-Tabla33610673[[#This Row],[Equity]])/Tabla33610673[[#This Row],[Equity Peak]],"")</f>
        <v>1.5940308631507548E-2</v>
      </c>
      <c r="V387" s="187">
        <f t="shared" si="102"/>
        <v>0</v>
      </c>
      <c r="W387" s="187">
        <f t="shared" si="103"/>
        <v>0</v>
      </c>
      <c r="X387" s="187">
        <f t="shared" si="104"/>
        <v>0</v>
      </c>
      <c r="Y387" s="187">
        <f t="shared" si="105"/>
        <v>0</v>
      </c>
      <c r="Z387" s="187">
        <f t="shared" si="106"/>
        <v>-0.05</v>
      </c>
      <c r="AA387" s="183">
        <f t="shared" si="107"/>
        <v>0</v>
      </c>
      <c r="AB387" s="187">
        <f t="shared" si="108"/>
        <v>0</v>
      </c>
      <c r="AC387" s="183">
        <f t="shared" si="109"/>
        <v>0</v>
      </c>
      <c r="AD387" s="188">
        <f t="shared" si="110"/>
        <v>0.12777777777955635</v>
      </c>
      <c r="AE387" s="188">
        <f t="shared" si="111"/>
        <v>0</v>
      </c>
      <c r="AF387" s="188">
        <f t="shared" si="112"/>
        <v>0.12777777777955635</v>
      </c>
      <c r="AG387" s="188">
        <f t="shared" si="113"/>
        <v>0</v>
      </c>
    </row>
    <row r="388" spans="2:33" ht="15" customHeight="1" x14ac:dyDescent="0.15">
      <c r="B388" s="174" t="s">
        <v>19</v>
      </c>
      <c r="C388" s="175" t="s">
        <v>15</v>
      </c>
      <c r="D388" s="176" t="str">
        <f t="shared" si="95"/>
        <v>C</v>
      </c>
      <c r="E388" s="177" t="d">
        <v>2021-07-13T02:45:00.00000020954757600</v>
      </c>
      <c r="F388" s="178" t="s">
        <v>77</v>
      </c>
      <c r="G388" s="179">
        <v>1807.66</v>
      </c>
      <c r="H388" s="179">
        <v>1802.55</v>
      </c>
      <c r="I388" s="180">
        <f t="shared" si="96"/>
        <v>5.1100000000001273</v>
      </c>
      <c r="J388" s="179">
        <v>1832.17</v>
      </c>
      <c r="K388" s="177" t="d">
        <v>2021-07-13T15:53:59.99999987427145575</v>
      </c>
      <c r="L388" s="179">
        <v>1802.99</v>
      </c>
      <c r="M388" s="181">
        <f t="shared" si="97"/>
        <v>-4.67</v>
      </c>
      <c r="N388" s="182">
        <f t="shared" si="98"/>
        <v>-0.91</v>
      </c>
      <c r="O388" s="183">
        <f t="shared" si="99"/>
        <v>0</v>
      </c>
      <c r="P388" s="184">
        <f t="shared" si="100"/>
        <v>0</v>
      </c>
      <c r="Q388" s="184">
        <f t="shared" si="101"/>
        <v>-0.91</v>
      </c>
      <c r="R38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43535</v>
      </c>
      <c r="T38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44227.5</v>
      </c>
      <c r="U388" s="186">
        <f ca="1">IF(Tabla33610673[[#This Row],[Equity]]&lt;Tabla33610673[[#This Row],[Equity Peak]],(Tabla33610673[[#This Row],[Equity Peak]]-Tabla33610673[[#This Row],[Equity]])/Tabla33610673[[#This Row],[Equity Peak]],"")</f>
        <v>1.5657679045842518E-2</v>
      </c>
      <c r="V388" s="187">
        <f t="shared" si="102"/>
        <v>0</v>
      </c>
      <c r="W388" s="187">
        <f t="shared" si="103"/>
        <v>0</v>
      </c>
      <c r="X388" s="187">
        <f t="shared" si="104"/>
        <v>-0.91</v>
      </c>
      <c r="Y388" s="187">
        <f t="shared" si="105"/>
        <v>0</v>
      </c>
      <c r="Z388" s="187">
        <f t="shared" si="106"/>
        <v>0</v>
      </c>
      <c r="AA388" s="183">
        <f t="shared" si="107"/>
        <v>0</v>
      </c>
      <c r="AB388" s="187">
        <f t="shared" si="108"/>
        <v>0</v>
      </c>
      <c r="AC388" s="183">
        <f t="shared" si="109"/>
        <v>0</v>
      </c>
      <c r="AD388" s="188">
        <f t="shared" si="110"/>
        <v>0.54791666666278616</v>
      </c>
      <c r="AE388" s="188">
        <f t="shared" si="111"/>
        <v>0</v>
      </c>
      <c r="AF388" s="188">
        <f t="shared" si="112"/>
        <v>0.54791666666278616</v>
      </c>
      <c r="AG388" s="188">
        <f t="shared" si="113"/>
        <v>0</v>
      </c>
    </row>
    <row r="389" spans="2:33" ht="15" customHeight="1" x14ac:dyDescent="0.15">
      <c r="B389" s="174" t="s">
        <v>5</v>
      </c>
      <c r="C389" s="175" t="s">
        <v>15</v>
      </c>
      <c r="D389" s="176" t="str">
        <f t="shared" si="95"/>
        <v>C</v>
      </c>
      <c r="E389" s="177" t="d">
        <v>2021-07-09T19:44:59.99999979045242400</v>
      </c>
      <c r="F389" s="178" t="s">
        <v>81</v>
      </c>
      <c r="G389" s="179">
        <v>14836.96</v>
      </c>
      <c r="H389" s="179">
        <v>14770.54</v>
      </c>
      <c r="I389" s="180">
        <f t="shared" si="96"/>
        <v>66.419999999998254</v>
      </c>
      <c r="J389" s="179">
        <v>15235.49</v>
      </c>
      <c r="K389" s="177" t="d">
        <v>2021-07-13T15:30:00.00000020954757600</v>
      </c>
      <c r="L389" s="179">
        <v>14893.79</v>
      </c>
      <c r="M389" s="181">
        <f t="shared" si="97"/>
        <v>56.83</v>
      </c>
      <c r="N389" s="182">
        <f t="shared" si="98"/>
        <v>0.86</v>
      </c>
      <c r="O389" s="183">
        <f t="shared" si="99"/>
        <v>0</v>
      </c>
      <c r="P389" s="184">
        <f t="shared" si="100"/>
        <v>0.86</v>
      </c>
      <c r="Q389" s="184">
        <f t="shared" si="101"/>
        <v>0</v>
      </c>
      <c r="R38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43762.5</v>
      </c>
      <c r="T38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44227.5</v>
      </c>
      <c r="U389" s="186">
        <f ca="1">IF(Tabla33610673[[#This Row],[Equity]]&lt;Tabla33610673[[#This Row],[Equity Peak]],(Tabla33610673[[#This Row],[Equity Peak]]-Tabla33610673[[#This Row],[Equity]])/Tabla33610673[[#This Row],[Equity Peak]],"")</f>
        <v>1.051382058673902E-2</v>
      </c>
      <c r="V389" s="187">
        <f t="shared" si="102"/>
        <v>0</v>
      </c>
      <c r="W389" s="187">
        <f t="shared" si="103"/>
        <v>0</v>
      </c>
      <c r="X389" s="187">
        <f t="shared" si="104"/>
        <v>0</v>
      </c>
      <c r="Y389" s="187">
        <f t="shared" si="105"/>
        <v>0</v>
      </c>
      <c r="Z389" s="187">
        <f t="shared" si="106"/>
        <v>0.86</v>
      </c>
      <c r="AA389" s="183">
        <f t="shared" si="107"/>
        <v>0</v>
      </c>
      <c r="AB389" s="187">
        <f t="shared" si="108"/>
        <v>0</v>
      </c>
      <c r="AC389" s="183">
        <f t="shared" si="109"/>
        <v>0</v>
      </c>
      <c r="AD389" s="188">
        <f t="shared" si="110"/>
        <v>3.8229166666715173</v>
      </c>
      <c r="AE389" s="188">
        <f t="shared" si="111"/>
        <v>3.8229166666715173</v>
      </c>
      <c r="AF389" s="188">
        <f t="shared" si="112"/>
        <v>0</v>
      </c>
      <c r="AG389" s="188">
        <f t="shared" si="113"/>
        <v>0</v>
      </c>
    </row>
    <row r="390" spans="2:33" ht="15" customHeight="1" x14ac:dyDescent="0.15">
      <c r="B390" s="174" t="s">
        <v>7</v>
      </c>
      <c r="C390" s="175" t="s">
        <v>15</v>
      </c>
      <c r="D390" s="176" t="str">
        <f t="shared" si="95"/>
        <v>C</v>
      </c>
      <c r="E390" s="177" t="d">
        <v>2021-07-12T17:45:00.00000020954757600</v>
      </c>
      <c r="F390" s="178" t="s">
        <v>102</v>
      </c>
      <c r="G390" s="179">
        <v>153.31299999999999</v>
      </c>
      <c r="H390" s="179">
        <v>152.976</v>
      </c>
      <c r="I390" s="180">
        <f t="shared" si="96"/>
        <v>0.33699999999998909</v>
      </c>
      <c r="J390" s="179">
        <v>155.113</v>
      </c>
      <c r="K390" s="177" t="d">
        <v>2021-07-13T10:05:59.99999970663339225</v>
      </c>
      <c r="L390" s="179">
        <v>153.09899999999999</v>
      </c>
      <c r="M390" s="181">
        <f t="shared" si="97"/>
        <v>-0.214</v>
      </c>
      <c r="N390" s="182">
        <f t="shared" si="98"/>
        <v>-0.64</v>
      </c>
      <c r="O390" s="183">
        <f t="shared" si="99"/>
        <v>0</v>
      </c>
      <c r="P390" s="184">
        <f t="shared" si="100"/>
        <v>0</v>
      </c>
      <c r="Q390" s="184">
        <f t="shared" si="101"/>
        <v>-0.64</v>
      </c>
      <c r="R39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43547.5</v>
      </c>
      <c r="T39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44227.5</v>
      </c>
      <c r="U390" s="186">
        <f ca="1">IF(Tabla33610673[[#This Row],[Equity]]&lt;Tabla33610673[[#This Row],[Equity Peak]],(Tabla33610673[[#This Row],[Equity Peak]]-Tabla33610673[[#This Row],[Equity]])/Tabla33610673[[#This Row],[Equity Peak]],"")</f>
        <v>1.5375049460177492E-2</v>
      </c>
      <c r="V390" s="187">
        <f t="shared" si="102"/>
        <v>-0.64</v>
      </c>
      <c r="W390" s="187">
        <f t="shared" si="103"/>
        <v>0</v>
      </c>
      <c r="X390" s="187">
        <f t="shared" si="104"/>
        <v>0</v>
      </c>
      <c r="Y390" s="187">
        <f t="shared" si="105"/>
        <v>0</v>
      </c>
      <c r="Z390" s="187">
        <f t="shared" si="106"/>
        <v>0</v>
      </c>
      <c r="AA390" s="183">
        <f t="shared" si="107"/>
        <v>0</v>
      </c>
      <c r="AB390" s="187">
        <f t="shared" si="108"/>
        <v>0</v>
      </c>
      <c r="AC390" s="183">
        <f t="shared" si="109"/>
        <v>0</v>
      </c>
      <c r="AD390" s="188">
        <f t="shared" si="110"/>
        <v>0.68124999999417923</v>
      </c>
      <c r="AE390" s="188">
        <f t="shared" si="111"/>
        <v>0</v>
      </c>
      <c r="AF390" s="188">
        <f t="shared" si="112"/>
        <v>0.68124999999417923</v>
      </c>
      <c r="AG390" s="188">
        <f t="shared" si="113"/>
        <v>0</v>
      </c>
    </row>
    <row r="391" spans="2:33" ht="15" customHeight="1" x14ac:dyDescent="0.15">
      <c r="B391" s="174" t="s">
        <v>7</v>
      </c>
      <c r="C391" s="175" t="s">
        <v>15</v>
      </c>
      <c r="D391" s="176" t="str">
        <f t="shared" si="95"/>
        <v>C</v>
      </c>
      <c r="E391" s="177" t="d">
        <v>2021-07-12T01:44:59.99999979045242400</v>
      </c>
      <c r="F391" s="178" t="s">
        <v>102</v>
      </c>
      <c r="G391" s="179">
        <v>153.18799999999999</v>
      </c>
      <c r="H391" s="179">
        <v>152.86000000000001</v>
      </c>
      <c r="I391" s="180">
        <f t="shared" si="96"/>
        <v>0.32799999999997453</v>
      </c>
      <c r="J391" s="179">
        <v>154.93799999999999</v>
      </c>
      <c r="K391" s="177" t="d">
        <v>2021-07-12T10:37:00.00000011175870900</v>
      </c>
      <c r="L391" s="179">
        <v>152.86000000000001</v>
      </c>
      <c r="M391" s="181">
        <f t="shared" si="97"/>
        <v>-0.32800000000000001</v>
      </c>
      <c r="N391" s="182">
        <f t="shared" si="98"/>
        <v>-1</v>
      </c>
      <c r="O391" s="183">
        <f t="shared" si="99"/>
        <v>0</v>
      </c>
      <c r="P391" s="184">
        <f t="shared" si="100"/>
        <v>0</v>
      </c>
      <c r="Q391" s="184">
        <f t="shared" si="101"/>
        <v>-1</v>
      </c>
      <c r="R39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43707.5</v>
      </c>
      <c r="T39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44227.5</v>
      </c>
      <c r="U391" s="186">
        <f ca="1">IF(Tabla33610673[[#This Row],[Equity]]&lt;Tabla33610673[[#This Row],[Equity Peak]],(Tabla33610673[[#This Row],[Equity Peak]]-Tabla33610673[[#This Row],[Equity]])/Tabla33610673[[#This Row],[Equity Peak]],"")</f>
        <v>1.1757390763665141E-2</v>
      </c>
      <c r="V391" s="187">
        <f t="shared" si="102"/>
        <v>-1</v>
      </c>
      <c r="W391" s="187">
        <f t="shared" si="103"/>
        <v>0</v>
      </c>
      <c r="X391" s="187">
        <f t="shared" si="104"/>
        <v>0</v>
      </c>
      <c r="Y391" s="187">
        <f t="shared" si="105"/>
        <v>0</v>
      </c>
      <c r="Z391" s="187">
        <f t="shared" si="106"/>
        <v>0</v>
      </c>
      <c r="AA391" s="183">
        <f t="shared" si="107"/>
        <v>0</v>
      </c>
      <c r="AB391" s="187">
        <f t="shared" si="108"/>
        <v>0</v>
      </c>
      <c r="AC391" s="183">
        <f t="shared" si="109"/>
        <v>0</v>
      </c>
      <c r="AD391" s="188">
        <f t="shared" si="110"/>
        <v>0.36944444444816327</v>
      </c>
      <c r="AE391" s="188">
        <f t="shared" si="111"/>
        <v>0</v>
      </c>
      <c r="AF391" s="188">
        <f t="shared" si="112"/>
        <v>0.36944444444816327</v>
      </c>
      <c r="AG391" s="188">
        <f t="shared" si="113"/>
        <v>0</v>
      </c>
    </row>
    <row r="392" spans="2:33" ht="15" customHeight="1" x14ac:dyDescent="0.15">
      <c r="B392" s="174" t="s">
        <v>5</v>
      </c>
      <c r="C392" s="175" t="s">
        <v>15</v>
      </c>
      <c r="D392" s="176" t="str">
        <f t="shared" si="95"/>
        <v>C</v>
      </c>
      <c r="E392" s="177" t="d">
        <v>2021-07-09T11:15:00.000</v>
      </c>
      <c r="F392" s="178" t="s">
        <v>82</v>
      </c>
      <c r="G392" s="179">
        <v>4334.49</v>
      </c>
      <c r="H392" s="179">
        <v>4320.3100000000004</v>
      </c>
      <c r="I392" s="180">
        <f t="shared" si="96"/>
        <v>14.179999999999382</v>
      </c>
      <c r="J392" s="179">
        <v>4426.63</v>
      </c>
      <c r="K392" s="177" t="d">
        <v>2021-07-12T10:37:00.00000011175870900</v>
      </c>
      <c r="L392" s="179">
        <v>4356.9799999999996</v>
      </c>
      <c r="M392" s="181">
        <f t="shared" si="97"/>
        <v>22.49</v>
      </c>
      <c r="N392" s="182">
        <f t="shared" si="98"/>
        <v>1.59</v>
      </c>
      <c r="O392" s="183">
        <f t="shared" si="99"/>
        <v>0</v>
      </c>
      <c r="P392" s="184">
        <f t="shared" si="100"/>
        <v>1.59</v>
      </c>
      <c r="Q392" s="184">
        <f t="shared" si="101"/>
        <v>0</v>
      </c>
      <c r="R39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43957.5</v>
      </c>
      <c r="T39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44227.5</v>
      </c>
      <c r="U392" s="186">
        <f ca="1">IF(Tabla33610673[[#This Row],[Equity]]&lt;Tabla33610673[[#This Row],[Equity Peak]],(Tabla33610673[[#This Row],[Equity Peak]]-Tabla33610673[[#This Row],[Equity]])/Tabla33610673[[#This Row],[Equity Peak]],"")</f>
        <v>6.104799050364592E-3</v>
      </c>
      <c r="V392" s="187">
        <f t="shared" si="102"/>
        <v>0</v>
      </c>
      <c r="W392" s="187">
        <f t="shared" si="103"/>
        <v>0</v>
      </c>
      <c r="X392" s="187">
        <f t="shared" si="104"/>
        <v>0</v>
      </c>
      <c r="Y392" s="187">
        <f t="shared" si="105"/>
        <v>0</v>
      </c>
      <c r="Z392" s="187">
        <f t="shared" si="106"/>
        <v>1.59</v>
      </c>
      <c r="AA392" s="183">
        <f t="shared" si="107"/>
        <v>0</v>
      </c>
      <c r="AB392" s="187">
        <f t="shared" si="108"/>
        <v>0</v>
      </c>
      <c r="AC392" s="183">
        <f t="shared" si="109"/>
        <v>0</v>
      </c>
      <c r="AD392" s="188">
        <f t="shared" si="110"/>
        <v>2.9736111111124046</v>
      </c>
      <c r="AE392" s="188">
        <f t="shared" si="111"/>
        <v>2.9736111111124046</v>
      </c>
      <c r="AF392" s="188">
        <f t="shared" si="112"/>
        <v>0</v>
      </c>
      <c r="AG392" s="188">
        <f t="shared" si="113"/>
        <v>0</v>
      </c>
    </row>
    <row r="393" spans="2:33" ht="15" customHeight="1" x14ac:dyDescent="0.15">
      <c r="B393" s="174" t="s">
        <v>5</v>
      </c>
      <c r="C393" s="175" t="s">
        <v>15</v>
      </c>
      <c r="D393" s="176" t="str">
        <f t="shared" si="95"/>
        <v>C</v>
      </c>
      <c r="E393" s="177" t="d">
        <v>2021-07-12T10:15:00.00000020954757600</v>
      </c>
      <c r="F393" s="178" t="s">
        <v>80</v>
      </c>
      <c r="G393" s="179">
        <v>15734.66</v>
      </c>
      <c r="H393" s="179">
        <v>15666.93</v>
      </c>
      <c r="I393" s="180">
        <f t="shared" si="96"/>
        <v>67.729999999999563</v>
      </c>
      <c r="J393" s="179">
        <v>16231.38</v>
      </c>
      <c r="K393" s="177" t="d">
        <v>2021-07-12T10:34:00.00000015366822150</v>
      </c>
      <c r="L393" s="179">
        <v>15666.93</v>
      </c>
      <c r="M393" s="181">
        <f t="shared" si="97"/>
        <v>-67.73</v>
      </c>
      <c r="N393" s="182">
        <f t="shared" si="98"/>
        <v>-1</v>
      </c>
      <c r="O393" s="183">
        <f t="shared" si="99"/>
        <v>0</v>
      </c>
      <c r="P393" s="184">
        <f t="shared" si="100"/>
        <v>0</v>
      </c>
      <c r="Q393" s="184">
        <f t="shared" si="101"/>
        <v>-1</v>
      </c>
      <c r="R39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43560</v>
      </c>
      <c r="T39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44227.5</v>
      </c>
      <c r="U393" s="186">
        <f ca="1">IF(Tabla33610673[[#This Row],[Equity]]&lt;Tabla33610673[[#This Row],[Equity Peak]],(Tabla33610673[[#This Row],[Equity Peak]]-Tabla33610673[[#This Row],[Equity]])/Tabla33610673[[#This Row],[Equity Peak]],"")</f>
        <v>1.5092419874512463E-2</v>
      </c>
      <c r="V393" s="187">
        <f t="shared" si="102"/>
        <v>0</v>
      </c>
      <c r="W393" s="187">
        <f t="shared" si="103"/>
        <v>0</v>
      </c>
      <c r="X393" s="187">
        <f t="shared" si="104"/>
        <v>0</v>
      </c>
      <c r="Y393" s="187">
        <f t="shared" si="105"/>
        <v>0</v>
      </c>
      <c r="Z393" s="187">
        <f t="shared" si="106"/>
        <v>-1</v>
      </c>
      <c r="AA393" s="183">
        <f t="shared" si="107"/>
        <v>0</v>
      </c>
      <c r="AB393" s="187">
        <f t="shared" si="108"/>
        <v>0</v>
      </c>
      <c r="AC393" s="183">
        <f t="shared" si="109"/>
        <v>0</v>
      </c>
      <c r="AD393" s="188">
        <f t="shared" si="110"/>
        <v>1.3194444443797693E-2</v>
      </c>
      <c r="AE393" s="188">
        <f t="shared" si="111"/>
        <v>0</v>
      </c>
      <c r="AF393" s="188">
        <f t="shared" si="112"/>
        <v>1.3194444443797693E-2</v>
      </c>
      <c r="AG393" s="188">
        <f t="shared" si="113"/>
        <v>0</v>
      </c>
    </row>
    <row r="394" spans="2:33" ht="15" customHeight="1" x14ac:dyDescent="0.15">
      <c r="B394" s="174" t="s">
        <v>19</v>
      </c>
      <c r="C394" s="175" t="s">
        <v>15</v>
      </c>
      <c r="D394" s="176" t="str">
        <f t="shared" si="95"/>
        <v>C</v>
      </c>
      <c r="E394" s="177" t="d">
        <v>2021-07-09T17:15:00.000</v>
      </c>
      <c r="F394" s="178" t="s">
        <v>77</v>
      </c>
      <c r="G394" s="179">
        <v>1808.05</v>
      </c>
      <c r="H394" s="179">
        <v>1802.72</v>
      </c>
      <c r="I394" s="180">
        <f t="shared" si="96"/>
        <v>5.3299999999999272</v>
      </c>
      <c r="J394" s="179">
        <v>1833.64</v>
      </c>
      <c r="K394" s="177" t="d">
        <v>2021-07-12T06:21:59.99999990221113300</v>
      </c>
      <c r="L394" s="179">
        <v>1802.72</v>
      </c>
      <c r="M394" s="181">
        <f t="shared" si="97"/>
        <v>-5.33</v>
      </c>
      <c r="N394" s="182">
        <f t="shared" si="98"/>
        <v>-1</v>
      </c>
      <c r="O394" s="183">
        <f t="shared" si="99"/>
        <v>0</v>
      </c>
      <c r="P394" s="184">
        <f t="shared" si="100"/>
        <v>0</v>
      </c>
      <c r="Q394" s="184">
        <f t="shared" si="101"/>
        <v>-1</v>
      </c>
      <c r="R39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43810</v>
      </c>
      <c r="T39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44227.5</v>
      </c>
      <c r="U394" s="186">
        <f ca="1">IF(Tabla33610673[[#This Row],[Equity]]&lt;Tabla33610673[[#This Row],[Equity Peak]],(Tabla33610673[[#This Row],[Equity Peak]]-Tabla33610673[[#This Row],[Equity]])/Tabla33610673[[#This Row],[Equity Peak]],"")</f>
        <v>9.4398281612119161E-3</v>
      </c>
      <c r="V394" s="187">
        <f t="shared" si="102"/>
        <v>0</v>
      </c>
      <c r="W394" s="187">
        <f t="shared" si="103"/>
        <v>0</v>
      </c>
      <c r="X394" s="187">
        <f t="shared" si="104"/>
        <v>-1</v>
      </c>
      <c r="Y394" s="187">
        <f t="shared" si="105"/>
        <v>0</v>
      </c>
      <c r="Z394" s="187">
        <f t="shared" si="106"/>
        <v>0</v>
      </c>
      <c r="AA394" s="183">
        <f t="shared" si="107"/>
        <v>0</v>
      </c>
      <c r="AB394" s="187">
        <f t="shared" si="108"/>
        <v>0</v>
      </c>
      <c r="AC394" s="183">
        <f t="shared" si="109"/>
        <v>0</v>
      </c>
      <c r="AD394" s="188">
        <f t="shared" si="110"/>
        <v>2.546527777776646</v>
      </c>
      <c r="AE394" s="188">
        <f t="shared" si="111"/>
        <v>0</v>
      </c>
      <c r="AF394" s="188">
        <f t="shared" si="112"/>
        <v>2.546527777776646</v>
      </c>
      <c r="AG394" s="188">
        <f t="shared" si="113"/>
        <v>0</v>
      </c>
    </row>
    <row r="395" spans="2:33" ht="15" customHeight="1" x14ac:dyDescent="0.15">
      <c r="B395" s="174" t="s">
        <v>5</v>
      </c>
      <c r="C395" s="175" t="s">
        <v>13</v>
      </c>
      <c r="D395" s="176" t="str">
        <f t="shared" si="95"/>
        <v>C</v>
      </c>
      <c r="E395" s="177" t="d">
        <v>2021-07-08T13:15:00.00000020954757600</v>
      </c>
      <c r="F395" s="178" t="s">
        <v>80</v>
      </c>
      <c r="G395" s="179">
        <v>15440.75</v>
      </c>
      <c r="H395" s="179">
        <v>15502.89</v>
      </c>
      <c r="I395" s="180">
        <f t="shared" si="96"/>
        <v>62.139999999999418</v>
      </c>
      <c r="J395" s="179">
        <v>14985.03</v>
      </c>
      <c r="K395" s="177" t="d">
        <v>2021-07-08T18:39:00.00000008381903175</v>
      </c>
      <c r="L395" s="179">
        <v>15436.63</v>
      </c>
      <c r="M395" s="181">
        <f t="shared" si="97"/>
        <v>4.12</v>
      </c>
      <c r="N395" s="182">
        <f t="shared" si="98"/>
        <v>7.0000000000000007E-2</v>
      </c>
      <c r="O395" s="183">
        <f t="shared" si="99"/>
        <v>0</v>
      </c>
      <c r="P395" s="184">
        <f t="shared" si="100"/>
        <v>7.0000000000000007E-2</v>
      </c>
      <c r="Q395" s="184">
        <f t="shared" si="101"/>
        <v>0</v>
      </c>
      <c r="R39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44060</v>
      </c>
      <c r="T39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44227.5</v>
      </c>
      <c r="U395" s="186">
        <f ca="1">IF(Tabla33610673[[#This Row],[Equity]]&lt;Tabla33610673[[#This Row],[Equity Peak]],(Tabla33610673[[#This Row],[Equity Peak]]-Tabla33610673[[#This Row],[Equity]])/Tabla33610673[[#This Row],[Equity Peak]],"")</f>
        <v>3.7872364479113675E-3</v>
      </c>
      <c r="V395" s="187">
        <f t="shared" si="102"/>
        <v>0</v>
      </c>
      <c r="W395" s="187">
        <f t="shared" si="103"/>
        <v>0</v>
      </c>
      <c r="X395" s="187">
        <f t="shared" si="104"/>
        <v>0</v>
      </c>
      <c r="Y395" s="187">
        <f t="shared" si="105"/>
        <v>0</v>
      </c>
      <c r="Z395" s="187">
        <f t="shared" si="106"/>
        <v>7.0000000000000007E-2</v>
      </c>
      <c r="AA395" s="183">
        <f t="shared" si="107"/>
        <v>0</v>
      </c>
      <c r="AB395" s="187">
        <f t="shared" si="108"/>
        <v>0</v>
      </c>
      <c r="AC395" s="183">
        <f t="shared" si="109"/>
        <v>0</v>
      </c>
      <c r="AD395" s="188">
        <f t="shared" si="110"/>
        <v>0.22499999999854481</v>
      </c>
      <c r="AE395" s="188">
        <f t="shared" si="111"/>
        <v>0.22499999999854481</v>
      </c>
      <c r="AF395" s="188">
        <f t="shared" si="112"/>
        <v>0</v>
      </c>
      <c r="AG395" s="188">
        <f t="shared" si="113"/>
        <v>0</v>
      </c>
    </row>
    <row r="396" spans="2:33" ht="15" customHeight="1" x14ac:dyDescent="0.15">
      <c r="B396" s="174" t="s">
        <v>19</v>
      </c>
      <c r="C396" s="175" t="s">
        <v>15</v>
      </c>
      <c r="D396" s="176" t="str">
        <f t="shared" si="95"/>
        <v>C</v>
      </c>
      <c r="E396" s="177" t="d">
        <v>2021-07-08T11:29:59.99999979045242400</v>
      </c>
      <c r="F396" s="178" t="s">
        <v>77</v>
      </c>
      <c r="G396" s="179">
        <v>1811.06</v>
      </c>
      <c r="H396" s="179">
        <v>1806.1</v>
      </c>
      <c r="I396" s="180">
        <f t="shared" si="96"/>
        <v>4.9600000000000364</v>
      </c>
      <c r="J396" s="179">
        <v>1834.84</v>
      </c>
      <c r="K396" s="177" t="d">
        <v>2021-07-08T16:54:00.00000029336660775</v>
      </c>
      <c r="L396" s="179">
        <v>1807.38</v>
      </c>
      <c r="M396" s="181">
        <f t="shared" si="97"/>
        <v>-3.68</v>
      </c>
      <c r="N396" s="182">
        <f t="shared" si="98"/>
        <v>-0.74</v>
      </c>
      <c r="O396" s="183">
        <f t="shared" si="99"/>
        <v>0</v>
      </c>
      <c r="P396" s="184">
        <f t="shared" si="100"/>
        <v>0</v>
      </c>
      <c r="Q396" s="184">
        <f t="shared" si="101"/>
        <v>-0.74</v>
      </c>
      <c r="R39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44042.5</v>
      </c>
      <c r="T39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44227.5</v>
      </c>
      <c r="U396" s="186">
        <f ca="1">IF(Tabla33610673[[#This Row],[Equity]]&lt;Tabla33610673[[#This Row],[Equity Peak]],(Tabla33610673[[#This Row],[Equity Peak]]-Tabla33610673[[#This Row],[Equity]])/Tabla33610673[[#This Row],[Equity Peak]],"")</f>
        <v>4.182917867842406E-3</v>
      </c>
      <c r="V396" s="187">
        <f t="shared" si="102"/>
        <v>0</v>
      </c>
      <c r="W396" s="187">
        <f t="shared" si="103"/>
        <v>0</v>
      </c>
      <c r="X396" s="187">
        <f t="shared" si="104"/>
        <v>-0.74</v>
      </c>
      <c r="Y396" s="187">
        <f t="shared" si="105"/>
        <v>0</v>
      </c>
      <c r="Z396" s="187">
        <f t="shared" si="106"/>
        <v>0</v>
      </c>
      <c r="AA396" s="183">
        <f t="shared" si="107"/>
        <v>0</v>
      </c>
      <c r="AB396" s="187">
        <f t="shared" si="108"/>
        <v>0</v>
      </c>
      <c r="AC396" s="183">
        <f t="shared" si="109"/>
        <v>0</v>
      </c>
      <c r="AD396" s="188">
        <f t="shared" si="110"/>
        <v>0.22500000000582077</v>
      </c>
      <c r="AE396" s="188">
        <f t="shared" si="111"/>
        <v>0</v>
      </c>
      <c r="AF396" s="188">
        <f t="shared" si="112"/>
        <v>0.22500000000582077</v>
      </c>
      <c r="AG396" s="188">
        <f t="shared" si="113"/>
        <v>0</v>
      </c>
    </row>
    <row r="397" spans="2:33" ht="15" customHeight="1" x14ac:dyDescent="0.15">
      <c r="B397" s="174" t="s">
        <v>5</v>
      </c>
      <c r="C397" s="175" t="s">
        <v>13</v>
      </c>
      <c r="D397" s="176" t="str">
        <f t="shared" si="95"/>
        <v>C</v>
      </c>
      <c r="E397" s="177" t="d">
        <v>2021-07-08T10:44:59.99999979045242400</v>
      </c>
      <c r="F397" s="178" t="s">
        <v>82</v>
      </c>
      <c r="G397" s="179">
        <v>4323.09</v>
      </c>
      <c r="H397" s="179">
        <v>4333.62</v>
      </c>
      <c r="I397" s="180">
        <f t="shared" si="96"/>
        <v>10.529999999999745</v>
      </c>
      <c r="J397" s="179">
        <v>4254.6400000000003</v>
      </c>
      <c r="K397" s="177" t="d">
        <v>2021-07-08T13:54:00.00000029336660775</v>
      </c>
      <c r="L397" s="179">
        <v>4302.76</v>
      </c>
      <c r="M397" s="181">
        <f t="shared" si="97"/>
        <v>20.329999999999998</v>
      </c>
      <c r="N397" s="182">
        <f t="shared" si="98"/>
        <v>1.93</v>
      </c>
      <c r="O397" s="183">
        <f t="shared" si="99"/>
        <v>0</v>
      </c>
      <c r="P397" s="184">
        <f t="shared" si="100"/>
        <v>1.93</v>
      </c>
      <c r="Q397" s="184">
        <f t="shared" si="101"/>
        <v>0</v>
      </c>
      <c r="R39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44227.5</v>
      </c>
      <c r="T39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44227.5</v>
      </c>
      <c r="U397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397" s="187">
        <f t="shared" si="102"/>
        <v>0</v>
      </c>
      <c r="W397" s="187">
        <f t="shared" si="103"/>
        <v>0</v>
      </c>
      <c r="X397" s="187">
        <f t="shared" si="104"/>
        <v>0</v>
      </c>
      <c r="Y397" s="187">
        <f t="shared" si="105"/>
        <v>0</v>
      </c>
      <c r="Z397" s="187">
        <f t="shared" si="106"/>
        <v>1.93</v>
      </c>
      <c r="AA397" s="183">
        <f t="shared" si="107"/>
        <v>0</v>
      </c>
      <c r="AB397" s="187">
        <f t="shared" si="108"/>
        <v>0</v>
      </c>
      <c r="AC397" s="183">
        <f t="shared" si="109"/>
        <v>0</v>
      </c>
      <c r="AD397" s="188">
        <f t="shared" si="110"/>
        <v>0.13125000000582077</v>
      </c>
      <c r="AE397" s="188">
        <f t="shared" si="111"/>
        <v>0.13125000000582077</v>
      </c>
      <c r="AF397" s="188">
        <f t="shared" si="112"/>
        <v>0</v>
      </c>
      <c r="AG397" s="188">
        <f t="shared" si="113"/>
        <v>0</v>
      </c>
    </row>
    <row r="398" spans="2:33" ht="15" customHeight="1" x14ac:dyDescent="0.15">
      <c r="B398" s="174" t="s">
        <v>7</v>
      </c>
      <c r="C398" s="175" t="s">
        <v>13</v>
      </c>
      <c r="D398" s="176" t="str">
        <f t="shared" si="95"/>
        <v>C</v>
      </c>
      <c r="E398" s="177" t="d">
        <v>2021-07-08T08:29:59.99999979045242400</v>
      </c>
      <c r="F398" s="178" t="s">
        <v>102</v>
      </c>
      <c r="G398" s="179">
        <v>152.16999999999999</v>
      </c>
      <c r="H398" s="179">
        <v>152.489</v>
      </c>
      <c r="I398" s="180">
        <f t="shared" si="96"/>
        <v>0.31900000000001683</v>
      </c>
      <c r="J398" s="179">
        <v>150.471</v>
      </c>
      <c r="K398" s="177" t="d">
        <v>2021-07-08T12:39:00.00000008381903175</v>
      </c>
      <c r="L398" s="179">
        <v>151.732</v>
      </c>
      <c r="M398" s="181">
        <f t="shared" si="97"/>
        <v>0.438</v>
      </c>
      <c r="N398" s="182">
        <f t="shared" si="98"/>
        <v>1.37</v>
      </c>
      <c r="O398" s="183">
        <f t="shared" si="99"/>
        <v>0</v>
      </c>
      <c r="P398" s="184">
        <f t="shared" si="100"/>
        <v>1.37</v>
      </c>
      <c r="Q398" s="184">
        <f t="shared" si="101"/>
        <v>0</v>
      </c>
      <c r="R39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43745</v>
      </c>
      <c r="T39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43995</v>
      </c>
      <c r="U398" s="186">
        <f ca="1">IF(Tabla33610673[[#This Row],[Equity]]&lt;Tabla33610673[[#This Row],[Equity Peak]],(Tabla33610673[[#This Row],[Equity Peak]]-Tabla33610673[[#This Row],[Equity]])/Tabla33610673[[#This Row],[Equity Peak]],"")</f>
        <v>5.682463916354131E-3</v>
      </c>
      <c r="V398" s="187">
        <f t="shared" si="102"/>
        <v>1.37</v>
      </c>
      <c r="W398" s="187">
        <f t="shared" si="103"/>
        <v>0</v>
      </c>
      <c r="X398" s="187">
        <f t="shared" si="104"/>
        <v>0</v>
      </c>
      <c r="Y398" s="187">
        <f t="shared" si="105"/>
        <v>0</v>
      </c>
      <c r="Z398" s="187">
        <f t="shared" si="106"/>
        <v>0</v>
      </c>
      <c r="AA398" s="183">
        <f t="shared" si="107"/>
        <v>0</v>
      </c>
      <c r="AB398" s="187">
        <f t="shared" si="108"/>
        <v>0</v>
      </c>
      <c r="AC398" s="183">
        <f t="shared" si="109"/>
        <v>0</v>
      </c>
      <c r="AD398" s="188">
        <f t="shared" si="110"/>
        <v>0.17291666667006211</v>
      </c>
      <c r="AE398" s="188">
        <f t="shared" si="111"/>
        <v>0.17291666667006211</v>
      </c>
      <c r="AF398" s="188">
        <f t="shared" si="112"/>
        <v>0</v>
      </c>
      <c r="AG398" s="188">
        <f t="shared" si="113"/>
        <v>0</v>
      </c>
    </row>
    <row r="399" spans="2:33" ht="15" customHeight="1" x14ac:dyDescent="0.15">
      <c r="B399" s="174" t="s">
        <v>7</v>
      </c>
      <c r="C399" s="175" t="s">
        <v>13</v>
      </c>
      <c r="D399" s="176" t="str">
        <f t="shared" si="95"/>
        <v>C</v>
      </c>
      <c r="E399" s="177" t="d">
        <v>2021-07-08T09:59:59.99999979045242400</v>
      </c>
      <c r="F399" s="178" t="s">
        <v>103</v>
      </c>
      <c r="G399" s="179">
        <v>110.163</v>
      </c>
      <c r="H399" s="179">
        <v>110.32599999999999</v>
      </c>
      <c r="I399" s="180">
        <f t="shared" si="96"/>
        <v>0.1629999999999967</v>
      </c>
      <c r="J399" s="179">
        <v>109.13800000000001</v>
      </c>
      <c r="K399" s="177" t="d">
        <v>2021-07-08T12:36:59.99999969266355025</v>
      </c>
      <c r="L399" s="179">
        <v>110.003</v>
      </c>
      <c r="M399" s="181">
        <f t="shared" si="97"/>
        <v>0.16</v>
      </c>
      <c r="N399" s="182">
        <f t="shared" si="98"/>
        <v>0.98</v>
      </c>
      <c r="O399" s="183">
        <f t="shared" si="99"/>
        <v>0</v>
      </c>
      <c r="P399" s="184">
        <f t="shared" si="100"/>
        <v>0.98</v>
      </c>
      <c r="Q399" s="184">
        <f t="shared" si="101"/>
        <v>0</v>
      </c>
      <c r="R39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43402.5</v>
      </c>
      <c r="T39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43995</v>
      </c>
      <c r="U399" s="186">
        <f ca="1">IF(Tabla33610673[[#This Row],[Equity]]&lt;Tabla33610673[[#This Row],[Equity Peak]],(Tabla33610673[[#This Row],[Equity Peak]]-Tabla33610673[[#This Row],[Equity]])/Tabla33610673[[#This Row],[Equity Peak]],"")</f>
        <v>1.3467439481759292E-2</v>
      </c>
      <c r="V399" s="187">
        <f t="shared" si="102"/>
        <v>0.98</v>
      </c>
      <c r="W399" s="187">
        <f t="shared" si="103"/>
        <v>0</v>
      </c>
      <c r="X399" s="187">
        <f t="shared" si="104"/>
        <v>0</v>
      </c>
      <c r="Y399" s="187">
        <f t="shared" si="105"/>
        <v>0</v>
      </c>
      <c r="Z399" s="187">
        <f t="shared" si="106"/>
        <v>0</v>
      </c>
      <c r="AA399" s="183">
        <f t="shared" si="107"/>
        <v>0</v>
      </c>
      <c r="AB399" s="187">
        <f t="shared" si="108"/>
        <v>0</v>
      </c>
      <c r="AC399" s="183">
        <f t="shared" si="109"/>
        <v>0</v>
      </c>
      <c r="AD399" s="188">
        <f t="shared" si="110"/>
        <v>0.10902777777664596</v>
      </c>
      <c r="AE399" s="188">
        <f t="shared" si="111"/>
        <v>0.10902777777664596</v>
      </c>
      <c r="AF399" s="188">
        <f t="shared" si="112"/>
        <v>0</v>
      </c>
      <c r="AG399" s="188">
        <f t="shared" si="113"/>
        <v>0</v>
      </c>
    </row>
    <row r="400" spans="2:33" ht="15" customHeight="1" x14ac:dyDescent="0.15">
      <c r="B400" s="174" t="s">
        <v>5</v>
      </c>
      <c r="C400" s="175" t="s">
        <v>15</v>
      </c>
      <c r="D400" s="176" t="str">
        <f t="shared" si="95"/>
        <v>C</v>
      </c>
      <c r="E400" s="177" t="d">
        <v>2021-07-07T22:15:00.00000020954757600</v>
      </c>
      <c r="F400" s="178" t="s">
        <v>80</v>
      </c>
      <c r="G400" s="179">
        <v>15712.88</v>
      </c>
      <c r="H400" s="179">
        <v>15652.8</v>
      </c>
      <c r="I400" s="180">
        <f t="shared" si="96"/>
        <v>60.079999999999927</v>
      </c>
      <c r="J400" s="179">
        <v>16153.5</v>
      </c>
      <c r="K400" s="177" t="d">
        <v>2021-07-08T05:39:00.00000029336660775</v>
      </c>
      <c r="L400" s="179">
        <v>15652.8</v>
      </c>
      <c r="M400" s="181">
        <f t="shared" si="97"/>
        <v>-60.08</v>
      </c>
      <c r="N400" s="182">
        <f t="shared" si="98"/>
        <v>-1</v>
      </c>
      <c r="O400" s="183">
        <f t="shared" si="99"/>
        <v>0</v>
      </c>
      <c r="P400" s="184">
        <f t="shared" si="100"/>
        <v>0</v>
      </c>
      <c r="Q400" s="184">
        <f t="shared" si="101"/>
        <v>-1</v>
      </c>
      <c r="R40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43157.5</v>
      </c>
      <c r="T40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43995</v>
      </c>
      <c r="U400" s="186">
        <f ca="1">IF(Tabla33610673[[#This Row],[Equity]]&lt;Tabla33610673[[#This Row],[Equity Peak]],(Tabla33610673[[#This Row],[Equity Peak]]-Tabla33610673[[#This Row],[Equity]])/Tabla33610673[[#This Row],[Equity Peak]],"")</f>
        <v>1.903625411978634E-2</v>
      </c>
      <c r="V400" s="187">
        <f t="shared" si="102"/>
        <v>0</v>
      </c>
      <c r="W400" s="187">
        <f t="shared" si="103"/>
        <v>0</v>
      </c>
      <c r="X400" s="187">
        <f t="shared" si="104"/>
        <v>0</v>
      </c>
      <c r="Y400" s="187">
        <f t="shared" si="105"/>
        <v>0</v>
      </c>
      <c r="Z400" s="187">
        <f t="shared" si="106"/>
        <v>-1</v>
      </c>
      <c r="AA400" s="183">
        <f t="shared" si="107"/>
        <v>0</v>
      </c>
      <c r="AB400" s="187">
        <f t="shared" si="108"/>
        <v>0</v>
      </c>
      <c r="AC400" s="183">
        <f t="shared" si="109"/>
        <v>0</v>
      </c>
      <c r="AD400" s="188">
        <f t="shared" si="110"/>
        <v>0.30833333333430346</v>
      </c>
      <c r="AE400" s="188">
        <f t="shared" si="111"/>
        <v>0</v>
      </c>
      <c r="AF400" s="188">
        <f t="shared" si="112"/>
        <v>0.30833333333430346</v>
      </c>
      <c r="AG400" s="188">
        <f t="shared" si="113"/>
        <v>0</v>
      </c>
    </row>
    <row r="401" spans="2:33" ht="15" customHeight="1" x14ac:dyDescent="0.15">
      <c r="B401" s="174" t="s">
        <v>5</v>
      </c>
      <c r="C401" s="175" t="s">
        <v>15</v>
      </c>
      <c r="D401" s="176" t="str">
        <f t="shared" ref="D401:D464" si="114">IF(E401&lt;&gt;"",IF(K401&lt;&gt;"","C","O"),"")</f>
        <v>C</v>
      </c>
      <c r="E401" s="177" t="d">
        <v>2021-07-07T19:15:00.00000020954757600</v>
      </c>
      <c r="F401" s="178" t="s">
        <v>82</v>
      </c>
      <c r="G401" s="179">
        <v>4358.54</v>
      </c>
      <c r="H401" s="179">
        <v>4348.58</v>
      </c>
      <c r="I401" s="180">
        <f t="shared" ref="I401:I464" si="115">ABS(G401-H401)</f>
        <v>9.9600000000000364</v>
      </c>
      <c r="J401" s="179">
        <v>4423.25</v>
      </c>
      <c r="K401" s="177" t="d">
        <v>2021-07-08T05:26:59.99999983236193650</v>
      </c>
      <c r="L401" s="179">
        <v>4350.41</v>
      </c>
      <c r="M401" s="181">
        <f t="shared" ref="M401:M464" si="116">ROUND(IF(C401="L",(L401-G401),(G401-L401)),4)</f>
        <v>-8.1300000000000008</v>
      </c>
      <c r="N401" s="182">
        <f t="shared" ref="N401:N464" si="117">IFERROR(ROUND((M401/I401),2),"")</f>
        <v>-0.82</v>
      </c>
      <c r="O401" s="183">
        <f t="shared" ref="O401:O464" si="118">IF(D401="O",IF(N401&lt;0,N401,0),0)</f>
        <v>0</v>
      </c>
      <c r="P401" s="184">
        <f t="shared" ref="P401:P464" si="119">IF(N401&gt;= 0,N401,0)</f>
        <v>0</v>
      </c>
      <c r="Q401" s="184">
        <f t="shared" ref="Q401:Q464" si="120">IF(N401&lt;0,N401,0)</f>
        <v>-0.82</v>
      </c>
      <c r="R40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43407.5</v>
      </c>
      <c r="T40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43995</v>
      </c>
      <c r="U401" s="186">
        <f ca="1">IF(Tabla33610673[[#This Row],[Equity]]&lt;Tabla33610673[[#This Row],[Equity Peak]],(Tabla33610673[[#This Row],[Equity Peak]]-Tabla33610673[[#This Row],[Equity]])/Tabla33610673[[#This Row],[Equity Peak]],"")</f>
        <v>1.3353790203432208E-2</v>
      </c>
      <c r="V401" s="187">
        <f t="shared" ref="V401:V464" si="121">IF(B401="FX",N401,0)</f>
        <v>0</v>
      </c>
      <c r="W401" s="187">
        <f t="shared" ref="W401:W464" si="122">IF(D401="O",IF(V401&lt;0,V401,0),0)</f>
        <v>0</v>
      </c>
      <c r="X401" s="187">
        <f t="shared" ref="X401:X464" si="123">IF(B401="COM",N401,0)</f>
        <v>0</v>
      </c>
      <c r="Y401" s="187">
        <f t="shared" ref="Y401:Y464" si="124">IF(D401="O",IF(X401&lt;0,X401,0),0)</f>
        <v>0</v>
      </c>
      <c r="Z401" s="187">
        <f t="shared" ref="Z401:Z464" si="125">IF(B401="IND",N401,0)</f>
        <v>-0.82</v>
      </c>
      <c r="AA401" s="183">
        <f t="shared" ref="AA401:AA464" si="126">IF(D401="O",IF(Z401&lt;0,Z401,0),0)</f>
        <v>0</v>
      </c>
      <c r="AB401" s="187">
        <f t="shared" ref="AB401:AB464" si="127">IF(B401="CRYPTO",N401,0)</f>
        <v>0</v>
      </c>
      <c r="AC401" s="183">
        <f t="shared" ref="AC401:AC464" si="128">IF(D401="O",IF(AB401&lt;0,AB401,0),0)</f>
        <v>0</v>
      </c>
      <c r="AD401" s="188">
        <f t="shared" ref="AD401:AD464" si="129">IF(K401&lt;&gt;"",K401-E401,0)</f>
        <v>0.42499999999563443</v>
      </c>
      <c r="AE401" s="188">
        <f t="shared" ref="AE401:AE464" si="130">IF(N401&gt;0,AD401,0)</f>
        <v>0</v>
      </c>
      <c r="AF401" s="188">
        <f t="shared" ref="AF401:AF464" si="131">IF(N401&lt;0,AD401,0)</f>
        <v>0.42499999999563443</v>
      </c>
      <c r="AG401" s="188">
        <f t="shared" ref="AG401:AG464" si="132">IF(N401=0,AD401,0)</f>
        <v>0</v>
      </c>
    </row>
    <row r="402" spans="2:33" ht="15" customHeight="1" x14ac:dyDescent="0.15">
      <c r="B402" s="174" t="s">
        <v>19</v>
      </c>
      <c r="C402" s="175" t="s">
        <v>15</v>
      </c>
      <c r="D402" s="176" t="str">
        <f t="shared" si="114"/>
        <v>C</v>
      </c>
      <c r="E402" s="177" t="d">
        <v>2021-07-07T09:45:00.000</v>
      </c>
      <c r="F402" s="178" t="s">
        <v>77</v>
      </c>
      <c r="G402" s="179">
        <v>1804.2</v>
      </c>
      <c r="H402" s="179">
        <v>1799.32</v>
      </c>
      <c r="I402" s="180">
        <f t="shared" si="115"/>
        <v>4.8800000000001091</v>
      </c>
      <c r="J402" s="179">
        <v>1827.65</v>
      </c>
      <c r="K402" s="177" t="d">
        <v>2021-07-07T17:29:59.99999979045242400</v>
      </c>
      <c r="L402" s="179">
        <v>1799.32</v>
      </c>
      <c r="M402" s="181">
        <f t="shared" si="116"/>
        <v>-4.88</v>
      </c>
      <c r="N402" s="182">
        <f t="shared" si="117"/>
        <v>-1</v>
      </c>
      <c r="O402" s="183">
        <f t="shared" si="118"/>
        <v>0</v>
      </c>
      <c r="P402" s="184">
        <f t="shared" si="119"/>
        <v>0</v>
      </c>
      <c r="Q402" s="184">
        <f t="shared" si="120"/>
        <v>-1</v>
      </c>
      <c r="R40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43612.5</v>
      </c>
      <c r="T40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43995</v>
      </c>
      <c r="U402" s="186">
        <f ca="1">IF(Tabla33610673[[#This Row],[Equity]]&lt;Tabla33610673[[#This Row],[Equity Peak]],(Tabla33610673[[#This Row],[Equity Peak]]-Tabla33610673[[#This Row],[Equity]])/Tabla33610673[[#This Row],[Equity Peak]],"")</f>
        <v>8.6941697920218212E-3</v>
      </c>
      <c r="V402" s="187">
        <f t="shared" si="121"/>
        <v>0</v>
      </c>
      <c r="W402" s="187">
        <f t="shared" si="122"/>
        <v>0</v>
      </c>
      <c r="X402" s="187">
        <f t="shared" si="123"/>
        <v>-1</v>
      </c>
      <c r="Y402" s="187">
        <f t="shared" si="124"/>
        <v>0</v>
      </c>
      <c r="Z402" s="187">
        <f t="shared" si="125"/>
        <v>0</v>
      </c>
      <c r="AA402" s="183">
        <f t="shared" si="126"/>
        <v>0</v>
      </c>
      <c r="AB402" s="187">
        <f t="shared" si="127"/>
        <v>0</v>
      </c>
      <c r="AC402" s="183">
        <f t="shared" si="128"/>
        <v>0</v>
      </c>
      <c r="AD402" s="188">
        <f t="shared" si="129"/>
        <v>0.32291666666424135</v>
      </c>
      <c r="AE402" s="188">
        <f t="shared" si="130"/>
        <v>0</v>
      </c>
      <c r="AF402" s="188">
        <f t="shared" si="131"/>
        <v>0.32291666666424135</v>
      </c>
      <c r="AG402" s="188">
        <f t="shared" si="132"/>
        <v>0</v>
      </c>
    </row>
    <row r="403" spans="2:33" ht="15" customHeight="1" x14ac:dyDescent="0.15">
      <c r="B403" s="174" t="s">
        <v>5</v>
      </c>
      <c r="C403" s="175" t="s">
        <v>15</v>
      </c>
      <c r="D403" s="176" t="str">
        <f t="shared" si="114"/>
        <v>C</v>
      </c>
      <c r="E403" s="177" t="d">
        <v>2021-07-07T10:30:00.000</v>
      </c>
      <c r="F403" s="178" t="s">
        <v>82</v>
      </c>
      <c r="G403" s="179">
        <v>4349.79</v>
      </c>
      <c r="H403" s="179">
        <v>4340.3599999999997</v>
      </c>
      <c r="I403" s="180">
        <f t="shared" si="115"/>
        <v>9.430000000000291</v>
      </c>
      <c r="J403" s="179">
        <v>4411.08</v>
      </c>
      <c r="K403" s="177" t="d">
        <v>2021-07-07T17:09:00.00000008381903175</v>
      </c>
      <c r="L403" s="179">
        <v>4344.83</v>
      </c>
      <c r="M403" s="181">
        <f t="shared" si="116"/>
        <v>-4.96</v>
      </c>
      <c r="N403" s="182">
        <f t="shared" si="117"/>
        <v>-0.53</v>
      </c>
      <c r="O403" s="183">
        <f t="shared" si="118"/>
        <v>0</v>
      </c>
      <c r="P403" s="184">
        <f t="shared" si="119"/>
        <v>0</v>
      </c>
      <c r="Q403" s="184">
        <f t="shared" si="120"/>
        <v>-0.53</v>
      </c>
      <c r="R40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43862.5</v>
      </c>
      <c r="T40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43995</v>
      </c>
      <c r="U403" s="186">
        <f ca="1">IF(Tabla33610673[[#This Row],[Equity]]&lt;Tabla33610673[[#This Row],[Equity Peak]],(Tabla33610673[[#This Row],[Equity Peak]]-Tabla33610673[[#This Row],[Equity]])/Tabla33610673[[#This Row],[Equity Peak]],"")</f>
        <v>3.0117058756676893E-3</v>
      </c>
      <c r="V403" s="187">
        <f t="shared" si="121"/>
        <v>0</v>
      </c>
      <c r="W403" s="187">
        <f t="shared" si="122"/>
        <v>0</v>
      </c>
      <c r="X403" s="187">
        <f t="shared" si="123"/>
        <v>0</v>
      </c>
      <c r="Y403" s="187">
        <f t="shared" si="124"/>
        <v>0</v>
      </c>
      <c r="Z403" s="187">
        <f t="shared" si="125"/>
        <v>-0.53</v>
      </c>
      <c r="AA403" s="183">
        <f t="shared" si="126"/>
        <v>0</v>
      </c>
      <c r="AB403" s="187">
        <f t="shared" si="127"/>
        <v>0</v>
      </c>
      <c r="AC403" s="183">
        <f t="shared" si="128"/>
        <v>0</v>
      </c>
      <c r="AD403" s="188">
        <f t="shared" si="129"/>
        <v>0.27708333333430346</v>
      </c>
      <c r="AE403" s="188">
        <f t="shared" si="130"/>
        <v>0</v>
      </c>
      <c r="AF403" s="188">
        <f t="shared" si="131"/>
        <v>0.27708333333430346</v>
      </c>
      <c r="AG403" s="188">
        <f t="shared" si="132"/>
        <v>0</v>
      </c>
    </row>
    <row r="404" spans="2:33" ht="15" customHeight="1" x14ac:dyDescent="0.15">
      <c r="B404" s="174" t="s">
        <v>5</v>
      </c>
      <c r="C404" s="175" t="s">
        <v>15</v>
      </c>
      <c r="D404" s="176" t="str">
        <f t="shared" si="114"/>
        <v>C</v>
      </c>
      <c r="E404" s="177" t="d">
        <v>2021-07-07T06:14:59.99999979045242400</v>
      </c>
      <c r="F404" s="178" t="s">
        <v>81</v>
      </c>
      <c r="G404" s="179">
        <v>14799.05</v>
      </c>
      <c r="H404" s="179">
        <v>14768.71</v>
      </c>
      <c r="I404" s="180">
        <f t="shared" si="115"/>
        <v>30.340000000000146</v>
      </c>
      <c r="J404" s="179">
        <v>14981.08</v>
      </c>
      <c r="K404" s="177" t="d">
        <v>2021-07-07T16:38:59.99999987427145575</v>
      </c>
      <c r="L404" s="179">
        <v>14844.44</v>
      </c>
      <c r="M404" s="181">
        <f t="shared" si="116"/>
        <v>45.39</v>
      </c>
      <c r="N404" s="182">
        <f t="shared" si="117"/>
        <v>1.5</v>
      </c>
      <c r="O404" s="183">
        <f t="shared" si="118"/>
        <v>0</v>
      </c>
      <c r="P404" s="184">
        <f t="shared" si="119"/>
        <v>1.5</v>
      </c>
      <c r="Q404" s="184">
        <f t="shared" si="120"/>
        <v>0</v>
      </c>
      <c r="R40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43995</v>
      </c>
      <c r="T40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43995</v>
      </c>
      <c r="U404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04" s="187">
        <f t="shared" si="121"/>
        <v>0</v>
      </c>
      <c r="W404" s="187">
        <f t="shared" si="122"/>
        <v>0</v>
      </c>
      <c r="X404" s="187">
        <f t="shared" si="123"/>
        <v>0</v>
      </c>
      <c r="Y404" s="187">
        <f t="shared" si="124"/>
        <v>0</v>
      </c>
      <c r="Z404" s="187">
        <f t="shared" si="125"/>
        <v>1.5</v>
      </c>
      <c r="AA404" s="183">
        <f t="shared" si="126"/>
        <v>0</v>
      </c>
      <c r="AB404" s="187">
        <f t="shared" si="127"/>
        <v>0</v>
      </c>
      <c r="AC404" s="183">
        <f t="shared" si="128"/>
        <v>0</v>
      </c>
      <c r="AD404" s="188">
        <f t="shared" si="129"/>
        <v>0.43333333333430346</v>
      </c>
      <c r="AE404" s="188">
        <f t="shared" si="130"/>
        <v>0.43333333333430346</v>
      </c>
      <c r="AF404" s="188">
        <f t="shared" si="131"/>
        <v>0</v>
      </c>
      <c r="AG404" s="188">
        <f t="shared" si="132"/>
        <v>0</v>
      </c>
    </row>
    <row r="405" spans="2:33" ht="15" customHeight="1" x14ac:dyDescent="0.15">
      <c r="B405" s="174" t="s">
        <v>7</v>
      </c>
      <c r="C405" s="175" t="s">
        <v>13</v>
      </c>
      <c r="D405" s="176" t="str">
        <f t="shared" si="114"/>
        <v>C</v>
      </c>
      <c r="E405" s="177" t="d">
        <v>2021-07-06T17:15:00.000</v>
      </c>
      <c r="F405" s="178" t="s">
        <v>102</v>
      </c>
      <c r="G405" s="179">
        <v>152.89500000000001</v>
      </c>
      <c r="H405" s="179">
        <v>153.15899999999999</v>
      </c>
      <c r="I405" s="180">
        <f t="shared" si="115"/>
        <v>0.26399999999998158</v>
      </c>
      <c r="J405" s="179">
        <v>151.48699999999999</v>
      </c>
      <c r="K405" s="177" t="d">
        <v>2021-07-07T07:24:00.00000008381903175</v>
      </c>
      <c r="L405" s="179">
        <v>152.732</v>
      </c>
      <c r="M405" s="181">
        <f t="shared" si="116"/>
        <v>0.16300000000000001</v>
      </c>
      <c r="N405" s="182">
        <f t="shared" si="117"/>
        <v>0.62</v>
      </c>
      <c r="O405" s="183">
        <f t="shared" si="118"/>
        <v>0</v>
      </c>
      <c r="P405" s="184">
        <f t="shared" si="119"/>
        <v>0.62</v>
      </c>
      <c r="Q405" s="184">
        <f t="shared" si="120"/>
        <v>0</v>
      </c>
      <c r="R40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43620</v>
      </c>
      <c r="T40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43620</v>
      </c>
      <c r="U405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05" s="187">
        <f t="shared" si="121"/>
        <v>0.62</v>
      </c>
      <c r="W405" s="187">
        <f t="shared" si="122"/>
        <v>0</v>
      </c>
      <c r="X405" s="187">
        <f t="shared" si="123"/>
        <v>0</v>
      </c>
      <c r="Y405" s="187">
        <f t="shared" si="124"/>
        <v>0</v>
      </c>
      <c r="Z405" s="187">
        <f t="shared" si="125"/>
        <v>0</v>
      </c>
      <c r="AA405" s="183">
        <f t="shared" si="126"/>
        <v>0</v>
      </c>
      <c r="AB405" s="187">
        <f t="shared" si="127"/>
        <v>0</v>
      </c>
      <c r="AC405" s="183">
        <f t="shared" si="128"/>
        <v>0</v>
      </c>
      <c r="AD405" s="188">
        <f t="shared" si="129"/>
        <v>0.58958333333430346</v>
      </c>
      <c r="AE405" s="188">
        <f t="shared" si="130"/>
        <v>0.58958333333430346</v>
      </c>
      <c r="AF405" s="188">
        <f t="shared" si="131"/>
        <v>0</v>
      </c>
      <c r="AG405" s="188">
        <f t="shared" si="132"/>
        <v>0</v>
      </c>
    </row>
    <row r="406" spans="2:33" ht="15" customHeight="1" x14ac:dyDescent="0.15">
      <c r="B406" s="174" t="s">
        <v>5</v>
      </c>
      <c r="C406" s="175" t="s">
        <v>15</v>
      </c>
      <c r="D406" s="176" t="str">
        <f t="shared" si="114"/>
        <v>C</v>
      </c>
      <c r="E406" s="177" t="d">
        <v>2021-07-06T14:29:59.99999979045242400</v>
      </c>
      <c r="F406" s="178" t="s">
        <v>81</v>
      </c>
      <c r="G406" s="179">
        <v>14750.41</v>
      </c>
      <c r="H406" s="179">
        <v>14722.54</v>
      </c>
      <c r="I406" s="180">
        <f t="shared" si="115"/>
        <v>27.869999999998981</v>
      </c>
      <c r="J406" s="179">
        <v>14917.61</v>
      </c>
      <c r="K406" s="177" t="d">
        <v>2021-07-06T17:23:59.99999987427145575</v>
      </c>
      <c r="L406" s="179">
        <v>14764.6</v>
      </c>
      <c r="M406" s="181">
        <f t="shared" si="116"/>
        <v>14.19</v>
      </c>
      <c r="N406" s="182">
        <f t="shared" si="117"/>
        <v>0.51</v>
      </c>
      <c r="O406" s="183">
        <f t="shared" si="118"/>
        <v>0</v>
      </c>
      <c r="P406" s="184">
        <f t="shared" si="119"/>
        <v>0.51</v>
      </c>
      <c r="Q406" s="184">
        <f t="shared" si="120"/>
        <v>0</v>
      </c>
      <c r="R40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43465</v>
      </c>
      <c r="T40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43465</v>
      </c>
      <c r="U406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06" s="187">
        <f t="shared" si="121"/>
        <v>0</v>
      </c>
      <c r="W406" s="187">
        <f t="shared" si="122"/>
        <v>0</v>
      </c>
      <c r="X406" s="187">
        <f t="shared" si="123"/>
        <v>0</v>
      </c>
      <c r="Y406" s="187">
        <f t="shared" si="124"/>
        <v>0</v>
      </c>
      <c r="Z406" s="187">
        <f t="shared" si="125"/>
        <v>0.51</v>
      </c>
      <c r="AA406" s="183">
        <f t="shared" si="126"/>
        <v>0</v>
      </c>
      <c r="AB406" s="187">
        <f t="shared" si="127"/>
        <v>0</v>
      </c>
      <c r="AC406" s="183">
        <f t="shared" si="128"/>
        <v>0</v>
      </c>
      <c r="AD406" s="188">
        <f t="shared" si="129"/>
        <v>0.12083333333430346</v>
      </c>
      <c r="AE406" s="188">
        <f t="shared" si="130"/>
        <v>0.12083333333430346</v>
      </c>
      <c r="AF406" s="188">
        <f t="shared" si="131"/>
        <v>0</v>
      </c>
      <c r="AG406" s="188">
        <f t="shared" si="132"/>
        <v>0</v>
      </c>
    </row>
    <row r="407" spans="2:33" ht="15" customHeight="1" x14ac:dyDescent="0.15">
      <c r="B407" s="174" t="s">
        <v>19</v>
      </c>
      <c r="C407" s="175" t="s">
        <v>15</v>
      </c>
      <c r="D407" s="176" t="str">
        <f t="shared" si="114"/>
        <v>C</v>
      </c>
      <c r="E407" s="177" t="d">
        <v>2021-07-05T11:00:00.00000020954757600</v>
      </c>
      <c r="F407" s="178" t="s">
        <v>77</v>
      </c>
      <c r="G407" s="179">
        <v>1792.75</v>
      </c>
      <c r="H407" s="179">
        <v>1787.65</v>
      </c>
      <c r="I407" s="180">
        <f t="shared" si="115"/>
        <v>5.0999999999999091</v>
      </c>
      <c r="J407" s="179">
        <v>1817.21</v>
      </c>
      <c r="K407" s="177" t="d">
        <v>2021-07-06T11:30:59.99999998603016475</v>
      </c>
      <c r="L407" s="179">
        <v>1802.67</v>
      </c>
      <c r="M407" s="181">
        <f t="shared" si="116"/>
        <v>9.92</v>
      </c>
      <c r="N407" s="182">
        <f t="shared" si="117"/>
        <v>1.95</v>
      </c>
      <c r="O407" s="183">
        <f t="shared" si="118"/>
        <v>0</v>
      </c>
      <c r="P407" s="184">
        <f t="shared" si="119"/>
        <v>1.95</v>
      </c>
      <c r="Q407" s="184">
        <f t="shared" si="120"/>
        <v>0</v>
      </c>
      <c r="R40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43337.5</v>
      </c>
      <c r="T40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43337.5</v>
      </c>
      <c r="U407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07" s="187">
        <f t="shared" si="121"/>
        <v>0</v>
      </c>
      <c r="W407" s="187">
        <f t="shared" si="122"/>
        <v>0</v>
      </c>
      <c r="X407" s="187">
        <f t="shared" si="123"/>
        <v>1.95</v>
      </c>
      <c r="Y407" s="187">
        <f t="shared" si="124"/>
        <v>0</v>
      </c>
      <c r="Z407" s="187">
        <f t="shared" si="125"/>
        <v>0</v>
      </c>
      <c r="AA407" s="183">
        <f t="shared" si="126"/>
        <v>0</v>
      </c>
      <c r="AB407" s="187">
        <f t="shared" si="127"/>
        <v>0</v>
      </c>
      <c r="AC407" s="183">
        <f t="shared" si="128"/>
        <v>0</v>
      </c>
      <c r="AD407" s="188">
        <f t="shared" si="129"/>
        <v>1.0215277777751908</v>
      </c>
      <c r="AE407" s="188">
        <f t="shared" si="130"/>
        <v>1.0215277777751908</v>
      </c>
      <c r="AF407" s="188">
        <f t="shared" si="131"/>
        <v>0</v>
      </c>
      <c r="AG407" s="188">
        <f t="shared" si="132"/>
        <v>0</v>
      </c>
    </row>
    <row r="408" spans="2:33" ht="15" customHeight="1" x14ac:dyDescent="0.15">
      <c r="B408" s="174" t="s">
        <v>7</v>
      </c>
      <c r="C408" s="175" t="s">
        <v>15</v>
      </c>
      <c r="D408" s="176" t="str">
        <f t="shared" si="114"/>
        <v>C</v>
      </c>
      <c r="E408" s="177" t="d">
        <v>2021-07-06T09:59:59.99999979045242400</v>
      </c>
      <c r="F408" s="178" t="s">
        <v>102</v>
      </c>
      <c r="G408" s="179">
        <v>154.07599999999999</v>
      </c>
      <c r="H408" s="179">
        <v>153.86099999999999</v>
      </c>
      <c r="I408" s="180">
        <f t="shared" si="115"/>
        <v>0.21500000000000341</v>
      </c>
      <c r="J408" s="179">
        <v>155.22200000000001</v>
      </c>
      <c r="K408" s="177" t="d">
        <v>2021-07-06T10:37:00.00000011175870900</v>
      </c>
      <c r="L408" s="179">
        <v>153.86099999999999</v>
      </c>
      <c r="M408" s="181">
        <f t="shared" si="116"/>
        <v>-0.215</v>
      </c>
      <c r="N408" s="182">
        <f t="shared" si="117"/>
        <v>-1</v>
      </c>
      <c r="O408" s="183">
        <f t="shared" si="118"/>
        <v>0</v>
      </c>
      <c r="P408" s="184">
        <f t="shared" si="119"/>
        <v>0</v>
      </c>
      <c r="Q408" s="184">
        <f t="shared" si="120"/>
        <v>-1</v>
      </c>
      <c r="R40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42850</v>
      </c>
      <c r="T40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43100</v>
      </c>
      <c r="U408" s="186">
        <f ca="1">IF(Tabla33610673[[#This Row],[Equity]]&lt;Tabla33610673[[#This Row],[Equity Peak]],(Tabla33610673[[#This Row],[Equity Peak]]-Tabla33610673[[#This Row],[Equity]])/Tabla33610673[[#This Row],[Equity Peak]],"")</f>
        <v>5.8004640371229696E-3</v>
      </c>
      <c r="V408" s="187">
        <f t="shared" si="121"/>
        <v>-1</v>
      </c>
      <c r="W408" s="187">
        <f t="shared" si="122"/>
        <v>0</v>
      </c>
      <c r="X408" s="187">
        <f t="shared" si="123"/>
        <v>0</v>
      </c>
      <c r="Y408" s="187">
        <f t="shared" si="124"/>
        <v>0</v>
      </c>
      <c r="Z408" s="187">
        <f t="shared" si="125"/>
        <v>0</v>
      </c>
      <c r="AA408" s="183">
        <f t="shared" si="126"/>
        <v>0</v>
      </c>
      <c r="AB408" s="187">
        <f t="shared" si="127"/>
        <v>0</v>
      </c>
      <c r="AC408" s="183">
        <f t="shared" si="128"/>
        <v>0</v>
      </c>
      <c r="AD408" s="188">
        <f t="shared" si="129"/>
        <v>2.5694444448163267E-2</v>
      </c>
      <c r="AE408" s="188">
        <f t="shared" si="130"/>
        <v>0</v>
      </c>
      <c r="AF408" s="188">
        <f t="shared" si="131"/>
        <v>2.5694444448163267E-2</v>
      </c>
      <c r="AG408" s="188">
        <f t="shared" si="132"/>
        <v>0</v>
      </c>
    </row>
    <row r="409" spans="2:33" ht="15" customHeight="1" x14ac:dyDescent="0.15">
      <c r="B409" s="174" t="s">
        <v>5</v>
      </c>
      <c r="C409" s="175" t="s">
        <v>15</v>
      </c>
      <c r="D409" s="176" t="str">
        <f t="shared" si="114"/>
        <v>C</v>
      </c>
      <c r="E409" s="177" t="d">
        <v>2021-07-01T20:45:00.00000020954757600</v>
      </c>
      <c r="F409" s="178" t="s">
        <v>82</v>
      </c>
      <c r="G409" s="179">
        <v>4316.04</v>
      </c>
      <c r="H409" s="179">
        <v>4306.72</v>
      </c>
      <c r="I409" s="180">
        <f t="shared" si="115"/>
        <v>9.319999999999709</v>
      </c>
      <c r="J409" s="179">
        <v>4376.6499999999996</v>
      </c>
      <c r="K409" s="177" t="d">
        <v>2021-07-05T10:24:00.00000008381903175</v>
      </c>
      <c r="L409" s="179">
        <v>4342.58</v>
      </c>
      <c r="M409" s="181">
        <f t="shared" si="116"/>
        <v>26.54</v>
      </c>
      <c r="N409" s="182">
        <f t="shared" si="117"/>
        <v>2.85</v>
      </c>
      <c r="O409" s="183">
        <f t="shared" si="118"/>
        <v>0</v>
      </c>
      <c r="P409" s="184">
        <f t="shared" si="119"/>
        <v>2.85</v>
      </c>
      <c r="Q409" s="184">
        <f t="shared" si="120"/>
        <v>0</v>
      </c>
      <c r="R40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43100</v>
      </c>
      <c r="T40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43100</v>
      </c>
      <c r="U409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09" s="187">
        <f t="shared" si="121"/>
        <v>0</v>
      </c>
      <c r="W409" s="187">
        <f t="shared" si="122"/>
        <v>0</v>
      </c>
      <c r="X409" s="187">
        <f t="shared" si="123"/>
        <v>0</v>
      </c>
      <c r="Y409" s="187">
        <f t="shared" si="124"/>
        <v>0</v>
      </c>
      <c r="Z409" s="187">
        <f t="shared" si="125"/>
        <v>2.85</v>
      </c>
      <c r="AA409" s="183">
        <f t="shared" si="126"/>
        <v>0</v>
      </c>
      <c r="AB409" s="187">
        <f t="shared" si="127"/>
        <v>0</v>
      </c>
      <c r="AC409" s="183">
        <f t="shared" si="128"/>
        <v>0</v>
      </c>
      <c r="AD409" s="188">
        <f t="shared" si="129"/>
        <v>3.5687499999985448</v>
      </c>
      <c r="AE409" s="188">
        <f t="shared" si="130"/>
        <v>3.5687499999985448</v>
      </c>
      <c r="AF409" s="188">
        <f t="shared" si="131"/>
        <v>0</v>
      </c>
      <c r="AG409" s="188">
        <f t="shared" si="132"/>
        <v>0</v>
      </c>
    </row>
    <row r="410" spans="2:33" ht="15" customHeight="1" x14ac:dyDescent="0.15">
      <c r="B410" s="174" t="s">
        <v>5</v>
      </c>
      <c r="C410" s="175" t="s">
        <v>15</v>
      </c>
      <c r="D410" s="176" t="str">
        <f t="shared" si="114"/>
        <v>C</v>
      </c>
      <c r="E410" s="177" t="d">
        <v>2021-07-02T15:45:00.000</v>
      </c>
      <c r="F410" s="178" t="s">
        <v>81</v>
      </c>
      <c r="G410" s="179">
        <v>14638.68</v>
      </c>
      <c r="H410" s="179">
        <v>14600.24</v>
      </c>
      <c r="I410" s="180">
        <f t="shared" si="115"/>
        <v>38.440000000000509</v>
      </c>
      <c r="J410" s="179">
        <v>14869.33</v>
      </c>
      <c r="K410" s="177" t="d">
        <v>2021-07-05T10:09:00.00000029336660775</v>
      </c>
      <c r="L410" s="179">
        <v>14689.7</v>
      </c>
      <c r="M410" s="181">
        <f t="shared" si="116"/>
        <v>51.02</v>
      </c>
      <c r="N410" s="182">
        <f t="shared" si="117"/>
        <v>1.33</v>
      </c>
      <c r="O410" s="183">
        <f t="shared" si="118"/>
        <v>0</v>
      </c>
      <c r="P410" s="184">
        <f t="shared" si="119"/>
        <v>1.33</v>
      </c>
      <c r="Q410" s="184">
        <f t="shared" si="120"/>
        <v>0</v>
      </c>
      <c r="R41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42387.5</v>
      </c>
      <c r="T41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42387.5</v>
      </c>
      <c r="U410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10" s="187">
        <f t="shared" si="121"/>
        <v>0</v>
      </c>
      <c r="W410" s="187">
        <f t="shared" si="122"/>
        <v>0</v>
      </c>
      <c r="X410" s="187">
        <f t="shared" si="123"/>
        <v>0</v>
      </c>
      <c r="Y410" s="187">
        <f t="shared" si="124"/>
        <v>0</v>
      </c>
      <c r="Z410" s="187">
        <f t="shared" si="125"/>
        <v>1.33</v>
      </c>
      <c r="AA410" s="183">
        <f t="shared" si="126"/>
        <v>0</v>
      </c>
      <c r="AB410" s="187">
        <f t="shared" si="127"/>
        <v>0</v>
      </c>
      <c r="AC410" s="183">
        <f t="shared" si="128"/>
        <v>0</v>
      </c>
      <c r="AD410" s="188">
        <f t="shared" si="129"/>
        <v>2.7666666666700621</v>
      </c>
      <c r="AE410" s="188">
        <f t="shared" si="130"/>
        <v>2.7666666666700621</v>
      </c>
      <c r="AF410" s="188">
        <f t="shared" si="131"/>
        <v>0</v>
      </c>
      <c r="AG410" s="188">
        <f t="shared" si="132"/>
        <v>0</v>
      </c>
    </row>
    <row r="411" spans="2:33" ht="15" customHeight="1" x14ac:dyDescent="0.15">
      <c r="B411" s="174" t="s">
        <v>19</v>
      </c>
      <c r="C411" s="175" t="s">
        <v>15</v>
      </c>
      <c r="D411" s="176" t="str">
        <f t="shared" si="114"/>
        <v>C</v>
      </c>
      <c r="E411" s="177" t="d">
        <v>2021-07-02T11:15:00.000</v>
      </c>
      <c r="F411" s="178" t="s">
        <v>77</v>
      </c>
      <c r="G411" s="179">
        <v>1781.56</v>
      </c>
      <c r="H411" s="179">
        <v>1776.75</v>
      </c>
      <c r="I411" s="180">
        <f t="shared" si="115"/>
        <v>4.8099999999999454</v>
      </c>
      <c r="J411" s="179">
        <v>1804.62</v>
      </c>
      <c r="K411" s="177" t="d">
        <v>2021-07-02T15:33:00.00000016763806350</v>
      </c>
      <c r="L411" s="179">
        <v>1777.49</v>
      </c>
      <c r="M411" s="181">
        <f t="shared" si="116"/>
        <v>-4.07</v>
      </c>
      <c r="N411" s="182">
        <f t="shared" si="117"/>
        <v>-0.85</v>
      </c>
      <c r="O411" s="183">
        <f t="shared" si="118"/>
        <v>0</v>
      </c>
      <c r="P411" s="184">
        <f t="shared" si="119"/>
        <v>0</v>
      </c>
      <c r="Q411" s="184">
        <f t="shared" si="120"/>
        <v>-0.85</v>
      </c>
      <c r="R41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42055</v>
      </c>
      <c r="T41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42267.5</v>
      </c>
      <c r="U411" s="186">
        <f ca="1">IF(Tabla33610673[[#This Row],[Equity]]&lt;Tabla33610673[[#This Row],[Equity Peak]],(Tabla33610673[[#This Row],[Equity Peak]]-Tabla33610673[[#This Row],[Equity]])/Tabla33610673[[#This Row],[Equity Peak]],"")</f>
        <v>5.0275034009581833E-3</v>
      </c>
      <c r="V411" s="187">
        <f t="shared" si="121"/>
        <v>0</v>
      </c>
      <c r="W411" s="187">
        <f t="shared" si="122"/>
        <v>0</v>
      </c>
      <c r="X411" s="187">
        <f t="shared" si="123"/>
        <v>-0.85</v>
      </c>
      <c r="Y411" s="187">
        <f t="shared" si="124"/>
        <v>0</v>
      </c>
      <c r="Z411" s="187">
        <f t="shared" si="125"/>
        <v>0</v>
      </c>
      <c r="AA411" s="183">
        <f t="shared" si="126"/>
        <v>0</v>
      </c>
      <c r="AB411" s="187">
        <f t="shared" si="127"/>
        <v>0</v>
      </c>
      <c r="AC411" s="183">
        <f t="shared" si="128"/>
        <v>0</v>
      </c>
      <c r="AD411" s="188">
        <f t="shared" si="129"/>
        <v>0.17916666666860692</v>
      </c>
      <c r="AE411" s="188">
        <f t="shared" si="130"/>
        <v>0</v>
      </c>
      <c r="AF411" s="188">
        <f t="shared" si="131"/>
        <v>0.17916666666860692</v>
      </c>
      <c r="AG411" s="188">
        <f t="shared" si="132"/>
        <v>0</v>
      </c>
    </row>
    <row r="412" spans="2:33" ht="15" customHeight="1" x14ac:dyDescent="0.15">
      <c r="B412" s="174" t="s">
        <v>19</v>
      </c>
      <c r="C412" s="175" t="s">
        <v>15</v>
      </c>
      <c r="D412" s="176" t="str">
        <f t="shared" si="114"/>
        <v>C</v>
      </c>
      <c r="E412" s="177" t="d">
        <v>2021-06-30T18:00:00.000</v>
      </c>
      <c r="F412" s="178" t="s">
        <v>77</v>
      </c>
      <c r="G412" s="179">
        <v>1765.8</v>
      </c>
      <c r="H412" s="179">
        <v>1760.83</v>
      </c>
      <c r="I412" s="180">
        <f t="shared" si="115"/>
        <v>4.9700000000000273</v>
      </c>
      <c r="J412" s="179">
        <v>1789.67</v>
      </c>
      <c r="K412" s="177" t="d">
        <v>2021-07-01T15:36:59.99999969266355025</v>
      </c>
      <c r="L412" s="179">
        <v>1773.13</v>
      </c>
      <c r="M412" s="181">
        <f t="shared" si="116"/>
        <v>7.33</v>
      </c>
      <c r="N412" s="182">
        <f t="shared" si="117"/>
        <v>1.47</v>
      </c>
      <c r="O412" s="183">
        <f t="shared" si="118"/>
        <v>0</v>
      </c>
      <c r="P412" s="184">
        <f t="shared" si="119"/>
        <v>1.47</v>
      </c>
      <c r="Q412" s="184">
        <f t="shared" si="120"/>
        <v>0</v>
      </c>
      <c r="R41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42267.5</v>
      </c>
      <c r="T41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42267.5</v>
      </c>
      <c r="U412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12" s="187">
        <f t="shared" si="121"/>
        <v>0</v>
      </c>
      <c r="W412" s="187">
        <f t="shared" si="122"/>
        <v>0</v>
      </c>
      <c r="X412" s="187">
        <f t="shared" si="123"/>
        <v>1.47</v>
      </c>
      <c r="Y412" s="187">
        <f t="shared" si="124"/>
        <v>0</v>
      </c>
      <c r="Z412" s="187">
        <f t="shared" si="125"/>
        <v>0</v>
      </c>
      <c r="AA412" s="183">
        <f t="shared" si="126"/>
        <v>0</v>
      </c>
      <c r="AB412" s="187">
        <f t="shared" si="127"/>
        <v>0</v>
      </c>
      <c r="AC412" s="183">
        <f t="shared" si="128"/>
        <v>0</v>
      </c>
      <c r="AD412" s="188">
        <f t="shared" si="129"/>
        <v>0.90069444444088731</v>
      </c>
      <c r="AE412" s="188">
        <f t="shared" si="130"/>
        <v>0.90069444444088731</v>
      </c>
      <c r="AF412" s="188">
        <f t="shared" si="131"/>
        <v>0</v>
      </c>
      <c r="AG412" s="188">
        <f t="shared" si="132"/>
        <v>0</v>
      </c>
    </row>
    <row r="413" spans="2:33" ht="15" customHeight="1" x14ac:dyDescent="0.15">
      <c r="B413" s="174" t="s">
        <v>7</v>
      </c>
      <c r="C413" s="175" t="s">
        <v>15</v>
      </c>
      <c r="D413" s="176" t="str">
        <f t="shared" si="114"/>
        <v>C</v>
      </c>
      <c r="E413" s="177" t="d">
        <v>2021-07-01T02:45:00.00000020954757600</v>
      </c>
      <c r="F413" s="178" t="s">
        <v>103</v>
      </c>
      <c r="G413" s="179">
        <v>111.134</v>
      </c>
      <c r="H413" s="179">
        <v>110.98</v>
      </c>
      <c r="I413" s="180">
        <f t="shared" si="115"/>
        <v>0.15399999999999636</v>
      </c>
      <c r="J413" s="179">
        <v>112.105</v>
      </c>
      <c r="K413" s="177" t="d">
        <v>2021-07-01T14:06:59.99999969266355025</v>
      </c>
      <c r="L413" s="179">
        <v>111.426</v>
      </c>
      <c r="M413" s="181">
        <f t="shared" si="116"/>
        <v>0.29199999999999998</v>
      </c>
      <c r="N413" s="182">
        <f t="shared" si="117"/>
        <v>1.9</v>
      </c>
      <c r="O413" s="183">
        <f t="shared" si="118"/>
        <v>0</v>
      </c>
      <c r="P413" s="184">
        <f t="shared" si="119"/>
        <v>1.9</v>
      </c>
      <c r="Q413" s="184">
        <f t="shared" si="120"/>
        <v>0</v>
      </c>
      <c r="R41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41900</v>
      </c>
      <c r="T41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41900</v>
      </c>
      <c r="U413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13" s="187">
        <f t="shared" si="121"/>
        <v>1.9</v>
      </c>
      <c r="W413" s="187">
        <f t="shared" si="122"/>
        <v>0</v>
      </c>
      <c r="X413" s="187">
        <f t="shared" si="123"/>
        <v>0</v>
      </c>
      <c r="Y413" s="187">
        <f t="shared" si="124"/>
        <v>0</v>
      </c>
      <c r="Z413" s="187">
        <f t="shared" si="125"/>
        <v>0</v>
      </c>
      <c r="AA413" s="183">
        <f t="shared" si="126"/>
        <v>0</v>
      </c>
      <c r="AB413" s="187">
        <f t="shared" si="127"/>
        <v>0</v>
      </c>
      <c r="AC413" s="183">
        <f t="shared" si="128"/>
        <v>0</v>
      </c>
      <c r="AD413" s="188">
        <f t="shared" si="129"/>
        <v>0.47361111110512866</v>
      </c>
      <c r="AE413" s="188">
        <f t="shared" si="130"/>
        <v>0.47361111110512866</v>
      </c>
      <c r="AF413" s="188">
        <f t="shared" si="131"/>
        <v>0</v>
      </c>
      <c r="AG413" s="188">
        <f t="shared" si="132"/>
        <v>0</v>
      </c>
    </row>
    <row r="414" spans="2:33" ht="15" customHeight="1" x14ac:dyDescent="0.15">
      <c r="B414" s="174" t="s">
        <v>5</v>
      </c>
      <c r="C414" s="175" t="s">
        <v>15</v>
      </c>
      <c r="D414" s="176" t="str">
        <f t="shared" si="114"/>
        <v>C</v>
      </c>
      <c r="E414" s="177" t="d">
        <v>2021-07-01T01:15:00.00000020954757600</v>
      </c>
      <c r="F414" s="178" t="s">
        <v>82</v>
      </c>
      <c r="G414" s="179">
        <v>4303.8500000000004</v>
      </c>
      <c r="H414" s="179">
        <v>4294.3100000000004</v>
      </c>
      <c r="I414" s="180">
        <f t="shared" si="115"/>
        <v>9.5399999999999636</v>
      </c>
      <c r="J414" s="179">
        <v>4365.88</v>
      </c>
      <c r="K414" s="177" t="d">
        <v>2021-07-01T12:15:59.99999998603016475</v>
      </c>
      <c r="L414" s="179">
        <v>4303.6000000000004</v>
      </c>
      <c r="M414" s="181">
        <f t="shared" si="116"/>
        <v>-0.25</v>
      </c>
      <c r="N414" s="182">
        <f t="shared" si="117"/>
        <v>-0.03</v>
      </c>
      <c r="O414" s="183">
        <f t="shared" si="118"/>
        <v>0</v>
      </c>
      <c r="P414" s="184">
        <f t="shared" si="119"/>
        <v>0</v>
      </c>
      <c r="Q414" s="184">
        <f t="shared" si="120"/>
        <v>-0.03</v>
      </c>
      <c r="R41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41425</v>
      </c>
      <c r="T41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41682.5</v>
      </c>
      <c r="U414" s="186">
        <f ca="1">IF(Tabla33610673[[#This Row],[Equity]]&lt;Tabla33610673[[#This Row],[Equity Peak]],(Tabla33610673[[#This Row],[Equity Peak]]-Tabla33610673[[#This Row],[Equity]])/Tabla33610673[[#This Row],[Equity Peak]],"")</f>
        <v>6.1776524920530195E-3</v>
      </c>
      <c r="V414" s="187">
        <f t="shared" si="121"/>
        <v>0</v>
      </c>
      <c r="W414" s="187">
        <f t="shared" si="122"/>
        <v>0</v>
      </c>
      <c r="X414" s="187">
        <f t="shared" si="123"/>
        <v>0</v>
      </c>
      <c r="Y414" s="187">
        <f t="shared" si="124"/>
        <v>0</v>
      </c>
      <c r="Z414" s="187">
        <f t="shared" si="125"/>
        <v>-0.03</v>
      </c>
      <c r="AA414" s="183">
        <f t="shared" si="126"/>
        <v>0</v>
      </c>
      <c r="AB414" s="187">
        <f t="shared" si="127"/>
        <v>0</v>
      </c>
      <c r="AC414" s="183">
        <f t="shared" si="128"/>
        <v>0</v>
      </c>
      <c r="AD414" s="188">
        <f t="shared" si="129"/>
        <v>0.45902777777519077</v>
      </c>
      <c r="AE414" s="188">
        <f t="shared" si="130"/>
        <v>0</v>
      </c>
      <c r="AF414" s="188">
        <f t="shared" si="131"/>
        <v>0.45902777777519077</v>
      </c>
      <c r="AG414" s="188">
        <f t="shared" si="132"/>
        <v>0</v>
      </c>
    </row>
    <row r="415" spans="2:33" ht="15" customHeight="1" x14ac:dyDescent="0.15">
      <c r="B415" s="174" t="s">
        <v>5</v>
      </c>
      <c r="C415" s="175" t="s">
        <v>13</v>
      </c>
      <c r="D415" s="176" t="str">
        <f t="shared" si="114"/>
        <v>C</v>
      </c>
      <c r="E415" s="177" t="d">
        <v>2021-06-30T12:14:59.99999979045242400</v>
      </c>
      <c r="F415" s="178" t="s">
        <v>80</v>
      </c>
      <c r="G415" s="179">
        <v>15474.91</v>
      </c>
      <c r="H415" s="179">
        <v>15521.38</v>
      </c>
      <c r="I415" s="180">
        <f t="shared" si="115"/>
        <v>46.469999999999345</v>
      </c>
      <c r="J415" s="179">
        <v>15134.14</v>
      </c>
      <c r="K415" s="177" t="d">
        <v>2021-06-30T13:00:59.99999998603016475</v>
      </c>
      <c r="L415" s="179">
        <v>15521.38</v>
      </c>
      <c r="M415" s="181">
        <f t="shared" si="116"/>
        <v>-46.47</v>
      </c>
      <c r="N415" s="182">
        <f t="shared" si="117"/>
        <v>-1</v>
      </c>
      <c r="O415" s="183">
        <f t="shared" si="118"/>
        <v>0</v>
      </c>
      <c r="P415" s="184">
        <f t="shared" si="119"/>
        <v>0</v>
      </c>
      <c r="Q415" s="184">
        <f t="shared" si="120"/>
        <v>-1</v>
      </c>
      <c r="R41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41432.5</v>
      </c>
      <c r="T41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41682.5</v>
      </c>
      <c r="U415" s="186">
        <f ca="1">IF(Tabla33610673[[#This Row],[Equity]]&lt;Tabla33610673[[#This Row],[Equity Peak]],(Tabla33610673[[#This Row],[Equity Peak]]-Tabla33610673[[#This Row],[Equity]])/Tabla33610673[[#This Row],[Equity Peak]],"")</f>
        <v>5.9977208660708927E-3</v>
      </c>
      <c r="V415" s="187">
        <f t="shared" si="121"/>
        <v>0</v>
      </c>
      <c r="W415" s="187">
        <f t="shared" si="122"/>
        <v>0</v>
      </c>
      <c r="X415" s="187">
        <f t="shared" si="123"/>
        <v>0</v>
      </c>
      <c r="Y415" s="187">
        <f t="shared" si="124"/>
        <v>0</v>
      </c>
      <c r="Z415" s="187">
        <f t="shared" si="125"/>
        <v>-1</v>
      </c>
      <c r="AA415" s="183">
        <f t="shared" si="126"/>
        <v>0</v>
      </c>
      <c r="AB415" s="187">
        <f t="shared" si="127"/>
        <v>0</v>
      </c>
      <c r="AC415" s="183">
        <f t="shared" si="128"/>
        <v>0</v>
      </c>
      <c r="AD415" s="188">
        <f t="shared" si="129"/>
        <v>3.1944444446708076E-2</v>
      </c>
      <c r="AE415" s="188">
        <f t="shared" si="130"/>
        <v>0</v>
      </c>
      <c r="AF415" s="188">
        <f t="shared" si="131"/>
        <v>3.1944444446708076E-2</v>
      </c>
      <c r="AG415" s="188">
        <f t="shared" si="132"/>
        <v>0</v>
      </c>
    </row>
    <row r="416" spans="2:33" ht="15" customHeight="1" x14ac:dyDescent="0.15">
      <c r="B416" s="174" t="s">
        <v>7</v>
      </c>
      <c r="C416" s="175" t="s">
        <v>13</v>
      </c>
      <c r="D416" s="176" t="str">
        <f t="shared" si="114"/>
        <v>C</v>
      </c>
      <c r="E416" s="177" t="d">
        <v>2021-06-28T18:30:00.00000020954757600</v>
      </c>
      <c r="F416" s="178" t="s">
        <v>102</v>
      </c>
      <c r="G416" s="179">
        <v>153.465</v>
      </c>
      <c r="H416" s="179">
        <v>153.78399999999999</v>
      </c>
      <c r="I416" s="180">
        <f t="shared" si="115"/>
        <v>0.3189999999999884</v>
      </c>
      <c r="J416" s="179">
        <v>151.76499999999999</v>
      </c>
      <c r="K416" s="177" t="d">
        <v>2021-06-29T22:48:59.99999994412064550</v>
      </c>
      <c r="L416" s="179">
        <v>153.12200000000001</v>
      </c>
      <c r="M416" s="181">
        <f t="shared" si="116"/>
        <v>0.34300000000000003</v>
      </c>
      <c r="N416" s="182">
        <f t="shared" si="117"/>
        <v>1.08</v>
      </c>
      <c r="O416" s="183">
        <f t="shared" si="118"/>
        <v>0</v>
      </c>
      <c r="P416" s="184">
        <f t="shared" si="119"/>
        <v>1.08</v>
      </c>
      <c r="Q416" s="184">
        <f t="shared" si="120"/>
        <v>0</v>
      </c>
      <c r="R41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41682.5</v>
      </c>
      <c r="T41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41682.5</v>
      </c>
      <c r="U416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16" s="187">
        <f t="shared" si="121"/>
        <v>1.08</v>
      </c>
      <c r="W416" s="187">
        <f t="shared" si="122"/>
        <v>0</v>
      </c>
      <c r="X416" s="187">
        <f t="shared" si="123"/>
        <v>0</v>
      </c>
      <c r="Y416" s="187">
        <f t="shared" si="124"/>
        <v>0</v>
      </c>
      <c r="Z416" s="187">
        <f t="shared" si="125"/>
        <v>0</v>
      </c>
      <c r="AA416" s="183">
        <f t="shared" si="126"/>
        <v>0</v>
      </c>
      <c r="AB416" s="187">
        <f t="shared" si="127"/>
        <v>0</v>
      </c>
      <c r="AC416" s="183">
        <f t="shared" si="128"/>
        <v>0</v>
      </c>
      <c r="AD416" s="188">
        <f t="shared" si="129"/>
        <v>1.179861111108039</v>
      </c>
      <c r="AE416" s="188">
        <f t="shared" si="130"/>
        <v>1.179861111108039</v>
      </c>
      <c r="AF416" s="188">
        <f t="shared" si="131"/>
        <v>0</v>
      </c>
      <c r="AG416" s="188">
        <f t="shared" si="132"/>
        <v>0</v>
      </c>
    </row>
    <row r="417" spans="2:33" ht="15" customHeight="1" x14ac:dyDescent="0.15">
      <c r="B417" s="174" t="s">
        <v>5</v>
      </c>
      <c r="C417" s="175" t="s">
        <v>15</v>
      </c>
      <c r="D417" s="176" t="str">
        <f t="shared" si="114"/>
        <v>C</v>
      </c>
      <c r="E417" s="177" t="d">
        <v>2021-06-29T12:59:59.99999979045242400</v>
      </c>
      <c r="F417" s="178" t="s">
        <v>80</v>
      </c>
      <c r="G417" s="179">
        <v>15695</v>
      </c>
      <c r="H417" s="179">
        <v>15651.63</v>
      </c>
      <c r="I417" s="180">
        <f t="shared" si="115"/>
        <v>43.3700000000008</v>
      </c>
      <c r="J417" s="179">
        <v>16013.06</v>
      </c>
      <c r="K417" s="177" t="d">
        <v>2021-06-29T21:45:00.000</v>
      </c>
      <c r="L417" s="179">
        <v>15675.62</v>
      </c>
      <c r="M417" s="181">
        <f t="shared" si="116"/>
        <v>-19.38</v>
      </c>
      <c r="N417" s="182">
        <f t="shared" si="117"/>
        <v>-0.45</v>
      </c>
      <c r="O417" s="183">
        <f t="shared" si="118"/>
        <v>0</v>
      </c>
      <c r="P417" s="184">
        <f t="shared" si="119"/>
        <v>0</v>
      </c>
      <c r="Q417" s="184">
        <f t="shared" si="120"/>
        <v>-0.45</v>
      </c>
      <c r="R41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41412.5</v>
      </c>
      <c r="T41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41525</v>
      </c>
      <c r="U417" s="186">
        <f ca="1">IF(Tabla33610673[[#This Row],[Equity]]&lt;Tabla33610673[[#This Row],[Equity Peak]],(Tabla33610673[[#This Row],[Equity Peak]]-Tabla33610673[[#This Row],[Equity]])/Tabla33610673[[#This Row],[Equity Peak]],"")</f>
        <v>2.7092113184828417E-3</v>
      </c>
      <c r="V417" s="187">
        <f t="shared" si="121"/>
        <v>0</v>
      </c>
      <c r="W417" s="187">
        <f t="shared" si="122"/>
        <v>0</v>
      </c>
      <c r="X417" s="187">
        <f t="shared" si="123"/>
        <v>0</v>
      </c>
      <c r="Y417" s="187">
        <f t="shared" si="124"/>
        <v>0</v>
      </c>
      <c r="Z417" s="187">
        <f t="shared" si="125"/>
        <v>-0.45</v>
      </c>
      <c r="AA417" s="183">
        <f t="shared" si="126"/>
        <v>0</v>
      </c>
      <c r="AB417" s="187">
        <f t="shared" si="127"/>
        <v>0</v>
      </c>
      <c r="AC417" s="183">
        <f t="shared" si="128"/>
        <v>0</v>
      </c>
      <c r="AD417" s="188">
        <f t="shared" si="129"/>
        <v>0.36458333333575865</v>
      </c>
      <c r="AE417" s="188">
        <f t="shared" si="130"/>
        <v>0</v>
      </c>
      <c r="AF417" s="188">
        <f t="shared" si="131"/>
        <v>0.36458333333575865</v>
      </c>
      <c r="AG417" s="188">
        <f t="shared" si="132"/>
        <v>0</v>
      </c>
    </row>
    <row r="418" spans="2:33" ht="15" customHeight="1" x14ac:dyDescent="0.15">
      <c r="B418" s="174" t="s">
        <v>5</v>
      </c>
      <c r="C418" s="175" t="s">
        <v>15</v>
      </c>
      <c r="D418" s="176" t="str">
        <f t="shared" si="114"/>
        <v>C</v>
      </c>
      <c r="E418" s="177" t="d">
        <v>2021-06-28T16:15:00.00000020954757600</v>
      </c>
      <c r="F418" s="178" t="s">
        <v>81</v>
      </c>
      <c r="G418" s="179">
        <v>14404.67</v>
      </c>
      <c r="H418" s="179">
        <v>14368.03</v>
      </c>
      <c r="I418" s="180">
        <f t="shared" si="115"/>
        <v>36.639999999999418</v>
      </c>
      <c r="J418" s="179">
        <v>14624.49</v>
      </c>
      <c r="K418" s="177" t="d">
        <v>2021-06-29T04:38:00.00000030733644975</v>
      </c>
      <c r="L418" s="179">
        <v>14483.18</v>
      </c>
      <c r="M418" s="181">
        <f t="shared" si="116"/>
        <v>78.510000000000005</v>
      </c>
      <c r="N418" s="182">
        <f t="shared" si="117"/>
        <v>2.14</v>
      </c>
      <c r="O418" s="183">
        <f t="shared" si="118"/>
        <v>0</v>
      </c>
      <c r="P418" s="184">
        <f t="shared" si="119"/>
        <v>2.14</v>
      </c>
      <c r="Q418" s="184">
        <f t="shared" si="120"/>
        <v>0</v>
      </c>
      <c r="R41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41525</v>
      </c>
      <c r="T41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41525</v>
      </c>
      <c r="U418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18" s="187">
        <f t="shared" si="121"/>
        <v>0</v>
      </c>
      <c r="W418" s="187">
        <f t="shared" si="122"/>
        <v>0</v>
      </c>
      <c r="X418" s="187">
        <f t="shared" si="123"/>
        <v>0</v>
      </c>
      <c r="Y418" s="187">
        <f t="shared" si="124"/>
        <v>0</v>
      </c>
      <c r="Z418" s="187">
        <f t="shared" si="125"/>
        <v>2.14</v>
      </c>
      <c r="AA418" s="183">
        <f t="shared" si="126"/>
        <v>0</v>
      </c>
      <c r="AB418" s="187">
        <f t="shared" si="127"/>
        <v>0</v>
      </c>
      <c r="AC418" s="183">
        <f t="shared" si="128"/>
        <v>0</v>
      </c>
      <c r="AD418" s="188">
        <f t="shared" si="129"/>
        <v>0.51597222222335404</v>
      </c>
      <c r="AE418" s="188">
        <f t="shared" si="130"/>
        <v>0.51597222222335404</v>
      </c>
      <c r="AF418" s="188">
        <f t="shared" si="131"/>
        <v>0</v>
      </c>
      <c r="AG418" s="188">
        <f t="shared" si="132"/>
        <v>0</v>
      </c>
    </row>
    <row r="419" spans="2:33" ht="15" customHeight="1" x14ac:dyDescent="0.15">
      <c r="B419" s="174" t="s">
        <v>5</v>
      </c>
      <c r="C419" s="175" t="s">
        <v>15</v>
      </c>
      <c r="D419" s="176" t="str">
        <f t="shared" si="114"/>
        <v>C</v>
      </c>
      <c r="E419" s="177" t="d">
        <v>2021-06-21T18:00:00.000</v>
      </c>
      <c r="F419" s="178" t="s">
        <v>82</v>
      </c>
      <c r="G419" s="179">
        <v>4216.6499999999996</v>
      </c>
      <c r="H419" s="179">
        <v>4199.6400000000003</v>
      </c>
      <c r="I419" s="180">
        <f t="shared" si="115"/>
        <v>17.009999999999309</v>
      </c>
      <c r="J419" s="179">
        <v>4327.22</v>
      </c>
      <c r="K419" s="177" t="d">
        <v>2021-06-28T16:38:59.99999987427145575</v>
      </c>
      <c r="L419" s="179">
        <v>4277.59</v>
      </c>
      <c r="M419" s="181">
        <f t="shared" si="116"/>
        <v>60.94</v>
      </c>
      <c r="N419" s="182">
        <f t="shared" si="117"/>
        <v>3.58</v>
      </c>
      <c r="O419" s="183">
        <f t="shared" si="118"/>
        <v>0</v>
      </c>
      <c r="P419" s="184">
        <f t="shared" si="119"/>
        <v>3.58</v>
      </c>
      <c r="Q419" s="184">
        <f t="shared" si="120"/>
        <v>0</v>
      </c>
      <c r="R41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40990</v>
      </c>
      <c r="T41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40990</v>
      </c>
      <c r="U419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19" s="187">
        <f t="shared" si="121"/>
        <v>0</v>
      </c>
      <c r="W419" s="187">
        <f t="shared" si="122"/>
        <v>0</v>
      </c>
      <c r="X419" s="187">
        <f t="shared" si="123"/>
        <v>0</v>
      </c>
      <c r="Y419" s="187">
        <f t="shared" si="124"/>
        <v>0</v>
      </c>
      <c r="Z419" s="187">
        <f t="shared" si="125"/>
        <v>3.58</v>
      </c>
      <c r="AA419" s="183">
        <f t="shared" si="126"/>
        <v>0</v>
      </c>
      <c r="AB419" s="187">
        <f t="shared" si="127"/>
        <v>0</v>
      </c>
      <c r="AC419" s="183">
        <f t="shared" si="128"/>
        <v>0</v>
      </c>
      <c r="AD419" s="188">
        <f t="shared" si="129"/>
        <v>6.9437499999985448</v>
      </c>
      <c r="AE419" s="188">
        <f t="shared" si="130"/>
        <v>6.9437499999985448</v>
      </c>
      <c r="AF419" s="188">
        <f t="shared" si="131"/>
        <v>0</v>
      </c>
      <c r="AG419" s="188">
        <f t="shared" si="132"/>
        <v>0</v>
      </c>
    </row>
    <row r="420" spans="2:33" ht="15" customHeight="1" x14ac:dyDescent="0.15">
      <c r="B420" s="174" t="s">
        <v>19</v>
      </c>
      <c r="C420" s="175" t="s">
        <v>15</v>
      </c>
      <c r="D420" s="176" t="str">
        <f t="shared" si="114"/>
        <v>C</v>
      </c>
      <c r="E420" s="177" t="d">
        <v>2021-06-28T08:29:59.99999979045242400</v>
      </c>
      <c r="F420" s="178" t="s">
        <v>77</v>
      </c>
      <c r="G420" s="179">
        <v>1783.84</v>
      </c>
      <c r="H420" s="179">
        <v>1778.75</v>
      </c>
      <c r="I420" s="180">
        <f t="shared" si="115"/>
        <v>5.0899999999999181</v>
      </c>
      <c r="J420" s="179">
        <v>1808.29</v>
      </c>
      <c r="K420" s="177" t="d">
        <v>2021-06-28T11:09:00.00000008381903175</v>
      </c>
      <c r="L420" s="179">
        <v>1778.75</v>
      </c>
      <c r="M420" s="181">
        <f t="shared" si="116"/>
        <v>-5.09</v>
      </c>
      <c r="N420" s="182">
        <f t="shared" si="117"/>
        <v>-1</v>
      </c>
      <c r="O420" s="183">
        <f t="shared" si="118"/>
        <v>0</v>
      </c>
      <c r="P420" s="184">
        <f t="shared" si="119"/>
        <v>0</v>
      </c>
      <c r="Q420" s="184">
        <f t="shared" si="120"/>
        <v>-1</v>
      </c>
      <c r="R42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40095</v>
      </c>
      <c r="T42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40912.5</v>
      </c>
      <c r="U420" s="186">
        <f ca="1">IF(Tabla33610673[[#This Row],[Equity]]&lt;Tabla33610673[[#This Row],[Equity Peak]],(Tabla33610673[[#This Row],[Equity Peak]]-Tabla33610673[[#This Row],[Equity]])/Tabla33610673[[#This Row],[Equity Peak]],"")</f>
        <v>1.998166819431714E-2</v>
      </c>
      <c r="V420" s="187">
        <f t="shared" si="121"/>
        <v>0</v>
      </c>
      <c r="W420" s="187">
        <f t="shared" si="122"/>
        <v>0</v>
      </c>
      <c r="X420" s="187">
        <f t="shared" si="123"/>
        <v>-1</v>
      </c>
      <c r="Y420" s="187">
        <f t="shared" si="124"/>
        <v>0</v>
      </c>
      <c r="Z420" s="187">
        <f t="shared" si="125"/>
        <v>0</v>
      </c>
      <c r="AA420" s="183">
        <f t="shared" si="126"/>
        <v>0</v>
      </c>
      <c r="AB420" s="187">
        <f t="shared" si="127"/>
        <v>0</v>
      </c>
      <c r="AC420" s="183">
        <f t="shared" si="128"/>
        <v>0</v>
      </c>
      <c r="AD420" s="188">
        <f t="shared" si="129"/>
        <v>0.11041666667006211</v>
      </c>
      <c r="AE420" s="188">
        <f t="shared" si="130"/>
        <v>0</v>
      </c>
      <c r="AF420" s="188">
        <f t="shared" si="131"/>
        <v>0.11041666667006211</v>
      </c>
      <c r="AG420" s="188">
        <f t="shared" si="132"/>
        <v>0</v>
      </c>
    </row>
    <row r="421" spans="2:33" ht="15" customHeight="1" x14ac:dyDescent="0.15">
      <c r="B421" s="174" t="s">
        <v>19</v>
      </c>
      <c r="C421" s="175" t="s">
        <v>15</v>
      </c>
      <c r="D421" s="176" t="str">
        <f t="shared" si="114"/>
        <v>C</v>
      </c>
      <c r="E421" s="177" t="d">
        <v>2021-06-25T09:00:00.000</v>
      </c>
      <c r="F421" s="178" t="s">
        <v>77</v>
      </c>
      <c r="G421" s="179">
        <v>1780.75</v>
      </c>
      <c r="H421" s="179">
        <v>1775.18</v>
      </c>
      <c r="I421" s="180">
        <f t="shared" si="115"/>
        <v>5.5699999999999363</v>
      </c>
      <c r="J421" s="179">
        <v>1807.49</v>
      </c>
      <c r="K421" s="177" t="d">
        <v>2021-06-25T19:06:59.99999990221113300</v>
      </c>
      <c r="L421" s="179">
        <v>1778.02</v>
      </c>
      <c r="M421" s="181">
        <f t="shared" si="116"/>
        <v>-2.73</v>
      </c>
      <c r="N421" s="182">
        <f t="shared" si="117"/>
        <v>-0.49</v>
      </c>
      <c r="O421" s="183">
        <f t="shared" si="118"/>
        <v>0</v>
      </c>
      <c r="P421" s="184">
        <f t="shared" si="119"/>
        <v>0</v>
      </c>
      <c r="Q421" s="184">
        <f t="shared" si="120"/>
        <v>-0.49</v>
      </c>
      <c r="R42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40345</v>
      </c>
      <c r="T42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40912.5</v>
      </c>
      <c r="U421" s="186">
        <f ca="1">IF(Tabla33610673[[#This Row],[Equity]]&lt;Tabla33610673[[#This Row],[Equity Peak]],(Tabla33610673[[#This Row],[Equity Peak]]-Tabla33610673[[#This Row],[Equity]])/Tabla33610673[[#This Row],[Equity Peak]],"")</f>
        <v>1.3871066300030554E-2</v>
      </c>
      <c r="V421" s="187">
        <f t="shared" si="121"/>
        <v>0</v>
      </c>
      <c r="W421" s="187">
        <f t="shared" si="122"/>
        <v>0</v>
      </c>
      <c r="X421" s="187">
        <f t="shared" si="123"/>
        <v>-0.49</v>
      </c>
      <c r="Y421" s="187">
        <f t="shared" si="124"/>
        <v>0</v>
      </c>
      <c r="Z421" s="187">
        <f t="shared" si="125"/>
        <v>0</v>
      </c>
      <c r="AA421" s="183">
        <f t="shared" si="126"/>
        <v>0</v>
      </c>
      <c r="AB421" s="187">
        <f t="shared" si="127"/>
        <v>0</v>
      </c>
      <c r="AC421" s="183">
        <f t="shared" si="128"/>
        <v>0</v>
      </c>
      <c r="AD421" s="188">
        <f t="shared" si="129"/>
        <v>0.42152777777664596</v>
      </c>
      <c r="AE421" s="188">
        <f t="shared" si="130"/>
        <v>0</v>
      </c>
      <c r="AF421" s="188">
        <f t="shared" si="131"/>
        <v>0.42152777777664596</v>
      </c>
      <c r="AG421" s="188">
        <f t="shared" si="132"/>
        <v>0</v>
      </c>
    </row>
    <row r="422" spans="2:33" ht="15" customHeight="1" x14ac:dyDescent="0.15">
      <c r="B422" s="174" t="s">
        <v>19</v>
      </c>
      <c r="C422" s="175" t="s">
        <v>15</v>
      </c>
      <c r="D422" s="176" t="str">
        <f t="shared" si="114"/>
        <v>C</v>
      </c>
      <c r="E422" s="177" t="d">
        <v>2021-06-24T11:45:00.00000020954757600</v>
      </c>
      <c r="F422" s="178" t="s">
        <v>77</v>
      </c>
      <c r="G422" s="179">
        <v>1782.21</v>
      </c>
      <c r="H422" s="179">
        <v>1775.85</v>
      </c>
      <c r="I422" s="180">
        <f t="shared" si="115"/>
        <v>6.3600000000001273</v>
      </c>
      <c r="J422" s="179">
        <v>1812.73</v>
      </c>
      <c r="K422" s="177" t="d">
        <v>2021-06-24T20:35:59.99999970663339225</v>
      </c>
      <c r="L422" s="179">
        <v>1775.85</v>
      </c>
      <c r="M422" s="181">
        <f t="shared" si="116"/>
        <v>-6.36</v>
      </c>
      <c r="N422" s="182">
        <f t="shared" si="117"/>
        <v>-1</v>
      </c>
      <c r="O422" s="183">
        <f t="shared" si="118"/>
        <v>0</v>
      </c>
      <c r="P422" s="184">
        <f t="shared" si="119"/>
        <v>0</v>
      </c>
      <c r="Q422" s="184">
        <f t="shared" si="120"/>
        <v>-1</v>
      </c>
      <c r="R42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40467.5</v>
      </c>
      <c r="T42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40912.5</v>
      </c>
      <c r="U422" s="186">
        <f ca="1">IF(Tabla33610673[[#This Row],[Equity]]&lt;Tabla33610673[[#This Row],[Equity Peak]],(Tabla33610673[[#This Row],[Equity Peak]]-Tabla33610673[[#This Row],[Equity]])/Tabla33610673[[#This Row],[Equity Peak]],"")</f>
        <v>1.0876871371830125E-2</v>
      </c>
      <c r="V422" s="187">
        <f t="shared" si="121"/>
        <v>0</v>
      </c>
      <c r="W422" s="187">
        <f t="shared" si="122"/>
        <v>0</v>
      </c>
      <c r="X422" s="187">
        <f t="shared" si="123"/>
        <v>-1</v>
      </c>
      <c r="Y422" s="187">
        <f t="shared" si="124"/>
        <v>0</v>
      </c>
      <c r="Z422" s="187">
        <f t="shared" si="125"/>
        <v>0</v>
      </c>
      <c r="AA422" s="183">
        <f t="shared" si="126"/>
        <v>0</v>
      </c>
      <c r="AB422" s="187">
        <f t="shared" si="127"/>
        <v>0</v>
      </c>
      <c r="AC422" s="183">
        <f t="shared" si="128"/>
        <v>0</v>
      </c>
      <c r="AD422" s="188">
        <f t="shared" si="129"/>
        <v>0.36874999999417923</v>
      </c>
      <c r="AE422" s="188">
        <f t="shared" si="130"/>
        <v>0</v>
      </c>
      <c r="AF422" s="188">
        <f t="shared" si="131"/>
        <v>0.36874999999417923</v>
      </c>
      <c r="AG422" s="188">
        <f t="shared" si="132"/>
        <v>0</v>
      </c>
    </row>
    <row r="423" spans="2:33" ht="15" customHeight="1" x14ac:dyDescent="0.15">
      <c r="B423" s="174" t="s">
        <v>19</v>
      </c>
      <c r="C423" s="175" t="s">
        <v>15</v>
      </c>
      <c r="D423" s="176" t="str">
        <f t="shared" si="114"/>
        <v>C</v>
      </c>
      <c r="E423" s="177" t="d">
        <v>2021-06-23T15:14:59.99999979045242400</v>
      </c>
      <c r="F423" s="178" t="s">
        <v>77</v>
      </c>
      <c r="G423" s="179">
        <v>1785.91</v>
      </c>
      <c r="H423" s="179">
        <v>1779.12</v>
      </c>
      <c r="I423" s="180">
        <f t="shared" si="115"/>
        <v>6.790000000000191</v>
      </c>
      <c r="J423" s="179">
        <v>1818.51</v>
      </c>
      <c r="K423" s="177" t="d">
        <v>2021-06-23T21:30:59.99999977648258200</v>
      </c>
      <c r="L423" s="179">
        <v>1780.6</v>
      </c>
      <c r="M423" s="181">
        <f t="shared" si="116"/>
        <v>-5.31</v>
      </c>
      <c r="N423" s="182">
        <f t="shared" si="117"/>
        <v>-0.78</v>
      </c>
      <c r="O423" s="183">
        <f t="shared" si="118"/>
        <v>0</v>
      </c>
      <c r="P423" s="184">
        <f t="shared" si="119"/>
        <v>0</v>
      </c>
      <c r="Q423" s="184">
        <f t="shared" si="120"/>
        <v>-0.78</v>
      </c>
      <c r="R42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40717.5</v>
      </c>
      <c r="T42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40912.5</v>
      </c>
      <c r="U423" s="186">
        <f ca="1">IF(Tabla33610673[[#This Row],[Equity]]&lt;Tabla33610673[[#This Row],[Equity Peak]],(Tabla33610673[[#This Row],[Equity Peak]]-Tabla33610673[[#This Row],[Equity]])/Tabla33610673[[#This Row],[Equity Peak]],"")</f>
        <v>4.7662694775435378E-3</v>
      </c>
      <c r="V423" s="187">
        <f t="shared" si="121"/>
        <v>0</v>
      </c>
      <c r="W423" s="187">
        <f t="shared" si="122"/>
        <v>0</v>
      </c>
      <c r="X423" s="187">
        <f t="shared" si="123"/>
        <v>-0.78</v>
      </c>
      <c r="Y423" s="187">
        <f t="shared" si="124"/>
        <v>0</v>
      </c>
      <c r="Z423" s="187">
        <f t="shared" si="125"/>
        <v>0</v>
      </c>
      <c r="AA423" s="183">
        <f t="shared" si="126"/>
        <v>0</v>
      </c>
      <c r="AB423" s="187">
        <f t="shared" si="127"/>
        <v>0</v>
      </c>
      <c r="AC423" s="183">
        <f t="shared" si="128"/>
        <v>0</v>
      </c>
      <c r="AD423" s="188">
        <f t="shared" si="129"/>
        <v>0.26111111111094942</v>
      </c>
      <c r="AE423" s="188">
        <f t="shared" si="130"/>
        <v>0</v>
      </c>
      <c r="AF423" s="188">
        <f t="shared" si="131"/>
        <v>0.26111111111094942</v>
      </c>
      <c r="AG423" s="188">
        <f t="shared" si="132"/>
        <v>0</v>
      </c>
    </row>
    <row r="424" spans="2:33" ht="15" customHeight="1" x14ac:dyDescent="0.15">
      <c r="B424" s="174" t="s">
        <v>7</v>
      </c>
      <c r="C424" s="175" t="s">
        <v>15</v>
      </c>
      <c r="D424" s="176" t="str">
        <f t="shared" si="114"/>
        <v>C</v>
      </c>
      <c r="E424" s="177" t="d">
        <v>2021-06-22T20:00:00.00000020954757600</v>
      </c>
      <c r="F424" s="178" t="s">
        <v>102</v>
      </c>
      <c r="G424" s="179">
        <v>154.32300000000001</v>
      </c>
      <c r="H424" s="179">
        <v>153.99100000000001</v>
      </c>
      <c r="I424" s="180">
        <f t="shared" si="115"/>
        <v>0.33199999999999363</v>
      </c>
      <c r="J424" s="179">
        <v>156.095</v>
      </c>
      <c r="K424" s="177" t="d">
        <v>2021-06-23T14:36:59.99999990221113300</v>
      </c>
      <c r="L424" s="179">
        <v>154.68799999999999</v>
      </c>
      <c r="M424" s="181">
        <f t="shared" si="116"/>
        <v>0.36499999999999999</v>
      </c>
      <c r="N424" s="182">
        <f t="shared" si="117"/>
        <v>1.1000000000000001</v>
      </c>
      <c r="O424" s="183">
        <f t="shared" si="118"/>
        <v>0</v>
      </c>
      <c r="P424" s="184">
        <f t="shared" si="119"/>
        <v>1.1000000000000001</v>
      </c>
      <c r="Q424" s="184">
        <f t="shared" si="120"/>
        <v>0</v>
      </c>
      <c r="R42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40912.5</v>
      </c>
      <c r="T42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40912.5</v>
      </c>
      <c r="U424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24" s="187">
        <f t="shared" si="121"/>
        <v>1.1000000000000001</v>
      </c>
      <c r="W424" s="187">
        <f t="shared" si="122"/>
        <v>0</v>
      </c>
      <c r="X424" s="187">
        <f t="shared" si="123"/>
        <v>0</v>
      </c>
      <c r="Y424" s="187">
        <f t="shared" si="124"/>
        <v>0</v>
      </c>
      <c r="Z424" s="187">
        <f t="shared" si="125"/>
        <v>0</v>
      </c>
      <c r="AA424" s="183">
        <f t="shared" si="126"/>
        <v>0</v>
      </c>
      <c r="AB424" s="187">
        <f t="shared" si="127"/>
        <v>0</v>
      </c>
      <c r="AC424" s="183">
        <f t="shared" si="128"/>
        <v>0</v>
      </c>
      <c r="AD424" s="188">
        <f t="shared" si="129"/>
        <v>0.77569444444088731</v>
      </c>
      <c r="AE424" s="188">
        <f t="shared" si="130"/>
        <v>0.77569444444088731</v>
      </c>
      <c r="AF424" s="188">
        <f t="shared" si="131"/>
        <v>0</v>
      </c>
      <c r="AG424" s="188">
        <f t="shared" si="132"/>
        <v>0</v>
      </c>
    </row>
    <row r="425" spans="2:33" ht="15" customHeight="1" x14ac:dyDescent="0.15">
      <c r="B425" s="174" t="s">
        <v>7</v>
      </c>
      <c r="C425" s="175" t="s">
        <v>15</v>
      </c>
      <c r="D425" s="176" t="str">
        <f t="shared" si="114"/>
        <v>C</v>
      </c>
      <c r="E425" s="177" t="d">
        <v>2021-06-23T05:00:00.00000020954757600</v>
      </c>
      <c r="F425" s="178" t="s">
        <v>103</v>
      </c>
      <c r="G425" s="179">
        <v>110.831</v>
      </c>
      <c r="H425" s="179">
        <v>110.63</v>
      </c>
      <c r="I425" s="180">
        <f t="shared" si="115"/>
        <v>0.20100000000000762</v>
      </c>
      <c r="J425" s="179">
        <v>112.095</v>
      </c>
      <c r="K425" s="177" t="d">
        <v>2021-06-23T14:35:59.99999970663339225</v>
      </c>
      <c r="L425" s="179">
        <v>110.82599999999999</v>
      </c>
      <c r="M425" s="181">
        <f t="shared" si="116"/>
        <v>-5.0000000000000001E-3</v>
      </c>
      <c r="N425" s="182">
        <f t="shared" si="117"/>
        <v>-0.02</v>
      </c>
      <c r="O425" s="183">
        <f t="shared" si="118"/>
        <v>0</v>
      </c>
      <c r="P425" s="184">
        <f t="shared" si="119"/>
        <v>0</v>
      </c>
      <c r="Q425" s="184">
        <f t="shared" si="120"/>
        <v>-0.02</v>
      </c>
      <c r="R42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40637.5</v>
      </c>
      <c r="T42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40642.5</v>
      </c>
      <c r="U425" s="186">
        <f ca="1">IF(Tabla33610673[[#This Row],[Equity]]&lt;Tabla33610673[[#This Row],[Equity Peak]],(Tabla33610673[[#This Row],[Equity Peak]]-Tabla33610673[[#This Row],[Equity]])/Tabla33610673[[#This Row],[Equity Peak]],"")</f>
        <v>1.2302392815402596E-4</v>
      </c>
      <c r="V425" s="187">
        <f t="shared" si="121"/>
        <v>-0.02</v>
      </c>
      <c r="W425" s="187">
        <f t="shared" si="122"/>
        <v>0</v>
      </c>
      <c r="X425" s="187">
        <f t="shared" si="123"/>
        <v>0</v>
      </c>
      <c r="Y425" s="187">
        <f t="shared" si="124"/>
        <v>0</v>
      </c>
      <c r="Z425" s="187">
        <f t="shared" si="125"/>
        <v>0</v>
      </c>
      <c r="AA425" s="183">
        <f t="shared" si="126"/>
        <v>0</v>
      </c>
      <c r="AB425" s="187">
        <f t="shared" si="127"/>
        <v>0</v>
      </c>
      <c r="AC425" s="183">
        <f t="shared" si="128"/>
        <v>0</v>
      </c>
      <c r="AD425" s="188">
        <f t="shared" si="129"/>
        <v>0.39999999999417923</v>
      </c>
      <c r="AE425" s="188">
        <f t="shared" si="130"/>
        <v>0</v>
      </c>
      <c r="AF425" s="188">
        <f t="shared" si="131"/>
        <v>0.39999999999417923</v>
      </c>
      <c r="AG425" s="188">
        <f t="shared" si="132"/>
        <v>0</v>
      </c>
    </row>
    <row r="426" spans="2:33" ht="15" customHeight="1" x14ac:dyDescent="0.15">
      <c r="B426" s="174" t="s">
        <v>5</v>
      </c>
      <c r="C426" s="175" t="s">
        <v>15</v>
      </c>
      <c r="D426" s="176" t="str">
        <f t="shared" si="114"/>
        <v>C</v>
      </c>
      <c r="E426" s="177" t="d">
        <v>2021-06-22T14:15:00.000</v>
      </c>
      <c r="F426" s="178" t="s">
        <v>81</v>
      </c>
      <c r="G426" s="179">
        <v>14171.38</v>
      </c>
      <c r="H426" s="179">
        <v>14109.09</v>
      </c>
      <c r="I426" s="180">
        <f t="shared" si="115"/>
        <v>62.289999999999054</v>
      </c>
      <c r="J426" s="179">
        <v>14545.14</v>
      </c>
      <c r="K426" s="177" t="d">
        <v>2021-06-23T12:01:00.00000019557774075</v>
      </c>
      <c r="L426" s="179">
        <v>14265.18</v>
      </c>
      <c r="M426" s="181">
        <f t="shared" si="116"/>
        <v>93.8</v>
      </c>
      <c r="N426" s="182">
        <f t="shared" si="117"/>
        <v>1.51</v>
      </c>
      <c r="O426" s="183">
        <f t="shared" si="118"/>
        <v>0</v>
      </c>
      <c r="P426" s="184">
        <f t="shared" si="119"/>
        <v>1.51</v>
      </c>
      <c r="Q426" s="184">
        <f t="shared" si="120"/>
        <v>0</v>
      </c>
      <c r="R42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40642.5</v>
      </c>
      <c r="T42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40642.5</v>
      </c>
      <c r="U426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26" s="187">
        <f t="shared" si="121"/>
        <v>0</v>
      </c>
      <c r="W426" s="187">
        <f t="shared" si="122"/>
        <v>0</v>
      </c>
      <c r="X426" s="187">
        <f t="shared" si="123"/>
        <v>0</v>
      </c>
      <c r="Y426" s="187">
        <f t="shared" si="124"/>
        <v>0</v>
      </c>
      <c r="Z426" s="187">
        <f t="shared" si="125"/>
        <v>1.51</v>
      </c>
      <c r="AA426" s="183">
        <f t="shared" si="126"/>
        <v>0</v>
      </c>
      <c r="AB426" s="187">
        <f t="shared" si="127"/>
        <v>0</v>
      </c>
      <c r="AC426" s="183">
        <f t="shared" si="128"/>
        <v>0</v>
      </c>
      <c r="AD426" s="188">
        <f t="shared" si="129"/>
        <v>0.90694444444670808</v>
      </c>
      <c r="AE426" s="188">
        <f t="shared" si="130"/>
        <v>0.90694444444670808</v>
      </c>
      <c r="AF426" s="188">
        <f t="shared" si="131"/>
        <v>0</v>
      </c>
      <c r="AG426" s="188">
        <f t="shared" si="132"/>
        <v>0</v>
      </c>
    </row>
    <row r="427" spans="2:33" ht="15" customHeight="1" x14ac:dyDescent="0.15">
      <c r="B427" s="174" t="s">
        <v>19</v>
      </c>
      <c r="C427" s="175" t="s">
        <v>15</v>
      </c>
      <c r="D427" s="176" t="str">
        <f t="shared" si="114"/>
        <v>C</v>
      </c>
      <c r="E427" s="177" t="d">
        <v>2021-06-21T09:14:59.99999979045242400</v>
      </c>
      <c r="F427" s="178" t="s">
        <v>77</v>
      </c>
      <c r="G427" s="179">
        <v>1777.95</v>
      </c>
      <c r="H427" s="179">
        <v>1771.27</v>
      </c>
      <c r="I427" s="180">
        <f t="shared" si="115"/>
        <v>6.6800000000000637</v>
      </c>
      <c r="J427" s="179">
        <v>1810.01</v>
      </c>
      <c r="K427" s="177" t="d">
        <v>2021-06-22T15:33:59.999999734573066125</v>
      </c>
      <c r="L427" s="179">
        <v>1776.16</v>
      </c>
      <c r="M427" s="181">
        <f t="shared" si="116"/>
        <v>-1.79</v>
      </c>
      <c r="N427" s="182">
        <f t="shared" si="117"/>
        <v>-0.27</v>
      </c>
      <c r="O427" s="183">
        <f t="shared" si="118"/>
        <v>0</v>
      </c>
      <c r="P427" s="184">
        <f t="shared" si="119"/>
        <v>0</v>
      </c>
      <c r="Q427" s="184">
        <f t="shared" si="120"/>
        <v>-0.27</v>
      </c>
      <c r="R42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40265</v>
      </c>
      <c r="T42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27" s="186">
        <f ca="1">IF(Tabla33610673[[#This Row],[Equity]]&lt;Tabla33610673[[#This Row],[Equity Peak]],(Tabla33610673[[#This Row],[Equity Peak]]-Tabla33610673[[#This Row],[Equity]])/Tabla33610673[[#This Row],[Equity Peak]],"")</f>
        <v>3.4032547490873088E-3</v>
      </c>
      <c r="V427" s="187">
        <f t="shared" si="121"/>
        <v>0</v>
      </c>
      <c r="W427" s="187">
        <f t="shared" si="122"/>
        <v>0</v>
      </c>
      <c r="X427" s="187">
        <f t="shared" si="123"/>
        <v>-0.27</v>
      </c>
      <c r="Y427" s="187">
        <f t="shared" si="124"/>
        <v>0</v>
      </c>
      <c r="Z427" s="187">
        <f t="shared" si="125"/>
        <v>0</v>
      </c>
      <c r="AA427" s="183">
        <f t="shared" si="126"/>
        <v>0</v>
      </c>
      <c r="AB427" s="187">
        <f t="shared" si="127"/>
        <v>0</v>
      </c>
      <c r="AC427" s="183">
        <f t="shared" si="128"/>
        <v>0</v>
      </c>
      <c r="AD427" s="188">
        <f t="shared" si="129"/>
        <v>1.2631944444437977</v>
      </c>
      <c r="AE427" s="188">
        <f t="shared" si="130"/>
        <v>0</v>
      </c>
      <c r="AF427" s="188">
        <f t="shared" si="131"/>
        <v>1.2631944444437977</v>
      </c>
      <c r="AG427" s="188">
        <f t="shared" si="132"/>
        <v>0</v>
      </c>
    </row>
    <row r="428" spans="2:33" ht="15" customHeight="1" x14ac:dyDescent="0.15">
      <c r="B428" s="174" t="s">
        <v>5</v>
      </c>
      <c r="C428" s="175" t="s">
        <v>13</v>
      </c>
      <c r="D428" s="176" t="str">
        <f t="shared" si="114"/>
        <v>C</v>
      </c>
      <c r="E428" s="177" t="d">
        <v>2021-06-18T14:45:00.00000020954757600</v>
      </c>
      <c r="F428" s="178" t="s">
        <v>80</v>
      </c>
      <c r="G428" s="179">
        <v>15567.16</v>
      </c>
      <c r="H428" s="179">
        <v>15620.4</v>
      </c>
      <c r="I428" s="180">
        <f t="shared" si="115"/>
        <v>53.239999999999782</v>
      </c>
      <c r="J428" s="179">
        <v>15176.7</v>
      </c>
      <c r="K428" s="177" t="d">
        <v>2021-06-21T09:39:00.00000008381903175</v>
      </c>
      <c r="L428" s="179">
        <v>15386.4</v>
      </c>
      <c r="M428" s="181">
        <f t="shared" si="116"/>
        <v>180.76</v>
      </c>
      <c r="N428" s="182">
        <f t="shared" si="117"/>
        <v>3.4</v>
      </c>
      <c r="O428" s="183">
        <f t="shared" si="118"/>
        <v>0</v>
      </c>
      <c r="P428" s="184">
        <f t="shared" si="119"/>
        <v>3.4</v>
      </c>
      <c r="Q428" s="184">
        <f t="shared" si="120"/>
        <v>0</v>
      </c>
      <c r="R42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40332.5</v>
      </c>
      <c r="T42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28" s="186">
        <f ca="1">IF(Tabla33610673[[#This Row],[Equity]]&lt;Tabla33610673[[#This Row],[Equity Peak]],(Tabla33610673[[#This Row],[Equity Peak]]-Tabla33610673[[#This Row],[Equity]])/Tabla33610673[[#This Row],[Equity Peak]],"")</f>
        <v>1.7325660540808119E-3</v>
      </c>
      <c r="V428" s="187">
        <f t="shared" si="121"/>
        <v>0</v>
      </c>
      <c r="W428" s="187">
        <f t="shared" si="122"/>
        <v>0</v>
      </c>
      <c r="X428" s="187">
        <f t="shared" si="123"/>
        <v>0</v>
      </c>
      <c r="Y428" s="187">
        <f t="shared" si="124"/>
        <v>0</v>
      </c>
      <c r="Z428" s="187">
        <f t="shared" si="125"/>
        <v>3.4</v>
      </c>
      <c r="AA428" s="183">
        <f t="shared" si="126"/>
        <v>0</v>
      </c>
      <c r="AB428" s="187">
        <f t="shared" si="127"/>
        <v>0</v>
      </c>
      <c r="AC428" s="183">
        <f t="shared" si="128"/>
        <v>0</v>
      </c>
      <c r="AD428" s="188">
        <f t="shared" si="129"/>
        <v>2.7874999999985448</v>
      </c>
      <c r="AE428" s="188">
        <f t="shared" si="130"/>
        <v>2.7874999999985448</v>
      </c>
      <c r="AF428" s="188">
        <f t="shared" si="131"/>
        <v>0</v>
      </c>
      <c r="AG428" s="188">
        <f t="shared" si="132"/>
        <v>0</v>
      </c>
    </row>
    <row r="429" spans="2:33" ht="15" customHeight="1" x14ac:dyDescent="0.15">
      <c r="B429" s="174" t="s">
        <v>5</v>
      </c>
      <c r="C429" s="175" t="s">
        <v>13</v>
      </c>
      <c r="D429" s="176" t="str">
        <f t="shared" si="114"/>
        <v>C</v>
      </c>
      <c r="E429" s="177" t="d">
        <v>2021-06-18T13:15:00.00000020954757600</v>
      </c>
      <c r="F429" s="178" t="s">
        <v>82</v>
      </c>
      <c r="G429" s="179">
        <v>4217.25</v>
      </c>
      <c r="H429" s="179">
        <v>4230.1400000000003</v>
      </c>
      <c r="I429" s="180">
        <f t="shared" si="115"/>
        <v>12.890000000000327</v>
      </c>
      <c r="J429" s="179">
        <v>4133.4399999999996</v>
      </c>
      <c r="K429" s="177" t="d">
        <v>2021-06-18T19:09:00.00000029336660775</v>
      </c>
      <c r="L429" s="179">
        <v>4186.3100000000004</v>
      </c>
      <c r="M429" s="181">
        <f t="shared" si="116"/>
        <v>30.94</v>
      </c>
      <c r="N429" s="182">
        <f t="shared" si="117"/>
        <v>2.4</v>
      </c>
      <c r="O429" s="183">
        <f t="shared" si="118"/>
        <v>0</v>
      </c>
      <c r="P429" s="184">
        <f t="shared" si="119"/>
        <v>2.4</v>
      </c>
      <c r="Q429" s="184">
        <f t="shared" si="120"/>
        <v>0</v>
      </c>
      <c r="R42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39482.5</v>
      </c>
      <c r="T42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29" s="186">
        <f ca="1">IF(Tabla33610673[[#This Row],[Equity]]&lt;Tabla33610673[[#This Row],[Equity Peak]],(Tabla33610673[[#This Row],[Equity Peak]]-Tabla33610673[[#This Row],[Equity]])/Tabla33610673[[#This Row],[Equity Peak]],"")</f>
        <v>2.2770868139347814E-2</v>
      </c>
      <c r="V429" s="187">
        <f t="shared" si="121"/>
        <v>0</v>
      </c>
      <c r="W429" s="187">
        <f t="shared" si="122"/>
        <v>0</v>
      </c>
      <c r="X429" s="187">
        <f t="shared" si="123"/>
        <v>0</v>
      </c>
      <c r="Y429" s="187">
        <f t="shared" si="124"/>
        <v>0</v>
      </c>
      <c r="Z429" s="187">
        <f t="shared" si="125"/>
        <v>2.4</v>
      </c>
      <c r="AA429" s="183">
        <f t="shared" si="126"/>
        <v>0</v>
      </c>
      <c r="AB429" s="187">
        <f t="shared" si="127"/>
        <v>0</v>
      </c>
      <c r="AC429" s="183">
        <f t="shared" si="128"/>
        <v>0</v>
      </c>
      <c r="AD429" s="188">
        <f t="shared" si="129"/>
        <v>0.24583333333430346</v>
      </c>
      <c r="AE429" s="188">
        <f t="shared" si="130"/>
        <v>0.24583333333430346</v>
      </c>
      <c r="AF429" s="188">
        <f t="shared" si="131"/>
        <v>0</v>
      </c>
      <c r="AG429" s="188">
        <f t="shared" si="132"/>
        <v>0</v>
      </c>
    </row>
    <row r="430" spans="2:33" ht="15" customHeight="1" x14ac:dyDescent="0.15">
      <c r="B430" s="174" t="s">
        <v>19</v>
      </c>
      <c r="C430" s="175" t="s">
        <v>15</v>
      </c>
      <c r="D430" s="176" t="str">
        <f t="shared" si="114"/>
        <v>C</v>
      </c>
      <c r="E430" s="177" t="d">
        <v>2021-06-18T10:30:00.000</v>
      </c>
      <c r="F430" s="178" t="s">
        <v>77</v>
      </c>
      <c r="G430" s="179">
        <v>1787.38</v>
      </c>
      <c r="H430" s="179">
        <v>1781.17</v>
      </c>
      <c r="I430" s="180">
        <f t="shared" si="115"/>
        <v>6.2100000000000364</v>
      </c>
      <c r="J430" s="179">
        <v>1817.21</v>
      </c>
      <c r="K430" s="177" t="d">
        <v>2021-06-18T15:24:00.00000029336660775</v>
      </c>
      <c r="L430" s="179">
        <v>1781.79</v>
      </c>
      <c r="M430" s="181">
        <f t="shared" si="116"/>
        <v>-5.59</v>
      </c>
      <c r="N430" s="182">
        <f t="shared" si="117"/>
        <v>-0.9</v>
      </c>
      <c r="O430" s="183">
        <f t="shared" si="118"/>
        <v>0</v>
      </c>
      <c r="P430" s="184">
        <f t="shared" si="119"/>
        <v>0</v>
      </c>
      <c r="Q430" s="184">
        <f t="shared" si="120"/>
        <v>-0.9</v>
      </c>
      <c r="R43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38882.5</v>
      </c>
      <c r="T43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30" s="186">
        <f ca="1">IF(Tabla33610673[[#This Row],[Equity]]&lt;Tabla33610673[[#This Row],[Equity Peak]],(Tabla33610673[[#This Row],[Equity Peak]]-Tabla33610673[[#This Row],[Equity]])/Tabla33610673[[#This Row],[Equity Peak]],"")</f>
        <v>3.7621434317183344E-2</v>
      </c>
      <c r="V430" s="187">
        <f t="shared" si="121"/>
        <v>0</v>
      </c>
      <c r="W430" s="187">
        <f t="shared" si="122"/>
        <v>0</v>
      </c>
      <c r="X430" s="187">
        <f t="shared" si="123"/>
        <v>-0.9</v>
      </c>
      <c r="Y430" s="187">
        <f t="shared" si="124"/>
        <v>0</v>
      </c>
      <c r="Z430" s="187">
        <f t="shared" si="125"/>
        <v>0</v>
      </c>
      <c r="AA430" s="183">
        <f t="shared" si="126"/>
        <v>0</v>
      </c>
      <c r="AB430" s="187">
        <f t="shared" si="127"/>
        <v>0</v>
      </c>
      <c r="AC430" s="183">
        <f t="shared" si="128"/>
        <v>0</v>
      </c>
      <c r="AD430" s="188">
        <f t="shared" si="129"/>
        <v>0.20416666667006211</v>
      </c>
      <c r="AE430" s="188">
        <f t="shared" si="130"/>
        <v>0</v>
      </c>
      <c r="AF430" s="188">
        <f t="shared" si="131"/>
        <v>0.20416666667006211</v>
      </c>
      <c r="AG430" s="188">
        <f t="shared" si="132"/>
        <v>0</v>
      </c>
    </row>
    <row r="431" spans="2:33" ht="15" customHeight="1" x14ac:dyDescent="0.15">
      <c r="B431" s="174" t="s">
        <v>5</v>
      </c>
      <c r="C431" s="175" t="s">
        <v>15</v>
      </c>
      <c r="D431" s="176" t="str">
        <f t="shared" si="114"/>
        <v>C</v>
      </c>
      <c r="E431" s="177" t="d">
        <v>2021-06-17T22:15:00.00000020954757600</v>
      </c>
      <c r="F431" s="178" t="s">
        <v>81</v>
      </c>
      <c r="G431" s="179">
        <v>14208.07</v>
      </c>
      <c r="H431" s="179">
        <v>14150.63</v>
      </c>
      <c r="I431" s="180">
        <f t="shared" si="115"/>
        <v>57.440000000000509</v>
      </c>
      <c r="J431" s="179">
        <v>14552.69</v>
      </c>
      <c r="K431" s="177" t="d">
        <v>2021-06-18T14:22:00.00000011175870900</v>
      </c>
      <c r="L431" s="179">
        <v>14150.63</v>
      </c>
      <c r="M431" s="181">
        <f t="shared" si="116"/>
        <v>-57.44</v>
      </c>
      <c r="N431" s="182">
        <f t="shared" si="117"/>
        <v>-1</v>
      </c>
      <c r="O431" s="183">
        <f t="shared" si="118"/>
        <v>0</v>
      </c>
      <c r="P431" s="184">
        <f t="shared" si="119"/>
        <v>0</v>
      </c>
      <c r="Q431" s="184">
        <f t="shared" si="120"/>
        <v>-1</v>
      </c>
      <c r="R43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39107.5</v>
      </c>
      <c r="T43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31" s="186">
        <f ca="1">IF(Tabla33610673[[#This Row],[Equity]]&lt;Tabla33610673[[#This Row],[Equity Peak]],(Tabla33610673[[#This Row],[Equity Peak]]-Tabla33610673[[#This Row],[Equity]])/Tabla33610673[[#This Row],[Equity Peak]],"")</f>
        <v>3.2052472000495019E-2</v>
      </c>
      <c r="V431" s="187">
        <f t="shared" si="121"/>
        <v>0</v>
      </c>
      <c r="W431" s="187">
        <f t="shared" si="122"/>
        <v>0</v>
      </c>
      <c r="X431" s="187">
        <f t="shared" si="123"/>
        <v>0</v>
      </c>
      <c r="Y431" s="187">
        <f t="shared" si="124"/>
        <v>0</v>
      </c>
      <c r="Z431" s="187">
        <f t="shared" si="125"/>
        <v>-1</v>
      </c>
      <c r="AA431" s="183">
        <f t="shared" si="126"/>
        <v>0</v>
      </c>
      <c r="AB431" s="187">
        <f t="shared" si="127"/>
        <v>0</v>
      </c>
      <c r="AC431" s="183">
        <f t="shared" si="128"/>
        <v>0</v>
      </c>
      <c r="AD431" s="188">
        <f t="shared" si="129"/>
        <v>0.67152777777664596</v>
      </c>
      <c r="AE431" s="188">
        <f t="shared" si="130"/>
        <v>0</v>
      </c>
      <c r="AF431" s="188">
        <f t="shared" si="131"/>
        <v>0.67152777777664596</v>
      </c>
      <c r="AG431" s="188">
        <f t="shared" si="132"/>
        <v>0</v>
      </c>
    </row>
    <row r="432" spans="2:33" ht="15" customHeight="1" x14ac:dyDescent="0.15">
      <c r="B432" s="174" t="s">
        <v>7</v>
      </c>
      <c r="C432" s="175" t="s">
        <v>13</v>
      </c>
      <c r="D432" s="176" t="str">
        <f t="shared" si="114"/>
        <v>C</v>
      </c>
      <c r="E432" s="177" t="d">
        <v>2021-06-17T15:45:00.000</v>
      </c>
      <c r="F432" s="178" t="s">
        <v>102</v>
      </c>
      <c r="G432" s="179">
        <v>154.26900000000001</v>
      </c>
      <c r="H432" s="179">
        <v>154.55099999999999</v>
      </c>
      <c r="I432" s="180">
        <f t="shared" si="115"/>
        <v>0.28199999999998226</v>
      </c>
      <c r="J432" s="179">
        <v>152.76499999999999</v>
      </c>
      <c r="K432" s="177" t="d">
        <v>2021-06-17T21:39:00.00000008381903175</v>
      </c>
      <c r="L432" s="179">
        <v>153.58099999999999</v>
      </c>
      <c r="M432" s="181">
        <f t="shared" si="116"/>
        <v>0.68799999999999994</v>
      </c>
      <c r="N432" s="182">
        <f t="shared" si="117"/>
        <v>2.44</v>
      </c>
      <c r="O432" s="183">
        <f t="shared" si="118"/>
        <v>0</v>
      </c>
      <c r="P432" s="184">
        <f t="shared" si="119"/>
        <v>2.44</v>
      </c>
      <c r="Q432" s="184">
        <f t="shared" si="120"/>
        <v>0</v>
      </c>
      <c r="R43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39357.5</v>
      </c>
      <c r="T43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32" s="186">
        <f ca="1">IF(Tabla33610673[[#This Row],[Equity]]&lt;Tabla33610673[[#This Row],[Equity Peak]],(Tabla33610673[[#This Row],[Equity Peak]]-Tabla33610673[[#This Row],[Equity]])/Tabla33610673[[#This Row],[Equity Peak]],"")</f>
        <v>2.5864736093063549E-2</v>
      </c>
      <c r="V432" s="187">
        <f t="shared" si="121"/>
        <v>2.44</v>
      </c>
      <c r="W432" s="187">
        <f t="shared" si="122"/>
        <v>0</v>
      </c>
      <c r="X432" s="187">
        <f t="shared" si="123"/>
        <v>0</v>
      </c>
      <c r="Y432" s="187">
        <f t="shared" si="124"/>
        <v>0</v>
      </c>
      <c r="Z432" s="187">
        <f t="shared" si="125"/>
        <v>0</v>
      </c>
      <c r="AA432" s="183">
        <f t="shared" si="126"/>
        <v>0</v>
      </c>
      <c r="AB432" s="187">
        <f t="shared" si="127"/>
        <v>0</v>
      </c>
      <c r="AC432" s="183">
        <f t="shared" si="128"/>
        <v>0</v>
      </c>
      <c r="AD432" s="188">
        <f t="shared" si="129"/>
        <v>0.24583333333430346</v>
      </c>
      <c r="AE432" s="188">
        <f t="shared" si="130"/>
        <v>0.24583333333430346</v>
      </c>
      <c r="AF432" s="188">
        <f t="shared" si="131"/>
        <v>0</v>
      </c>
      <c r="AG432" s="188">
        <f t="shared" si="132"/>
        <v>0</v>
      </c>
    </row>
    <row r="433" spans="2:33" ht="15" customHeight="1" x14ac:dyDescent="0.15">
      <c r="B433" s="174" t="s">
        <v>5</v>
      </c>
      <c r="C433" s="175" t="s">
        <v>15</v>
      </c>
      <c r="D433" s="176" t="str">
        <f t="shared" si="114"/>
        <v>C</v>
      </c>
      <c r="E433" s="177" t="d">
        <v>2021-06-17T17:45:00.00000020954757600</v>
      </c>
      <c r="F433" s="178" t="s">
        <v>81</v>
      </c>
      <c r="G433" s="179">
        <v>14135.07</v>
      </c>
      <c r="H433" s="179">
        <v>14081.49</v>
      </c>
      <c r="I433" s="180">
        <f t="shared" si="115"/>
        <v>53.579999999999927</v>
      </c>
      <c r="J433" s="179">
        <v>14456.55</v>
      </c>
      <c r="K433" s="177" t="d">
        <v>2021-06-17T19:18:59.999999734573066125</v>
      </c>
      <c r="L433" s="179">
        <v>14116.58</v>
      </c>
      <c r="M433" s="181">
        <f t="shared" si="116"/>
        <v>-18.489999999999998</v>
      </c>
      <c r="N433" s="182">
        <f t="shared" si="117"/>
        <v>-0.35</v>
      </c>
      <c r="O433" s="183">
        <f t="shared" si="118"/>
        <v>0</v>
      </c>
      <c r="P433" s="184">
        <f t="shared" si="119"/>
        <v>0</v>
      </c>
      <c r="Q433" s="184">
        <f t="shared" si="120"/>
        <v>-0.35</v>
      </c>
      <c r="R43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38747.5</v>
      </c>
      <c r="T43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33" s="186">
        <f ca="1">IF(Tabla33610673[[#This Row],[Equity]]&lt;Tabla33610673[[#This Row],[Equity Peak]],(Tabla33610673[[#This Row],[Equity Peak]]-Tabla33610673[[#This Row],[Equity]])/Tabla33610673[[#This Row],[Equity Peak]],"")</f>
        <v>4.0962811707196338E-2</v>
      </c>
      <c r="V433" s="187">
        <f t="shared" si="121"/>
        <v>0</v>
      </c>
      <c r="W433" s="187">
        <f t="shared" si="122"/>
        <v>0</v>
      </c>
      <c r="X433" s="187">
        <f t="shared" si="123"/>
        <v>0</v>
      </c>
      <c r="Y433" s="187">
        <f t="shared" si="124"/>
        <v>0</v>
      </c>
      <c r="Z433" s="187">
        <f t="shared" si="125"/>
        <v>-0.35</v>
      </c>
      <c r="AA433" s="183">
        <f t="shared" si="126"/>
        <v>0</v>
      </c>
      <c r="AB433" s="187">
        <f t="shared" si="127"/>
        <v>0</v>
      </c>
      <c r="AC433" s="183">
        <f t="shared" si="128"/>
        <v>0</v>
      </c>
      <c r="AD433" s="188">
        <f t="shared" si="129"/>
        <v>6.5277777772280388E-2</v>
      </c>
      <c r="AE433" s="188">
        <f t="shared" si="130"/>
        <v>0</v>
      </c>
      <c r="AF433" s="188">
        <f t="shared" si="131"/>
        <v>6.5277777772280388E-2</v>
      </c>
      <c r="AG433" s="188">
        <f t="shared" si="132"/>
        <v>0</v>
      </c>
    </row>
    <row r="434" spans="2:33" ht="15" customHeight="1" x14ac:dyDescent="0.15">
      <c r="B434" s="174" t="s">
        <v>7</v>
      </c>
      <c r="C434" s="175" t="s">
        <v>15</v>
      </c>
      <c r="D434" s="176" t="str">
        <f t="shared" si="114"/>
        <v>C</v>
      </c>
      <c r="E434" s="177" t="d">
        <v>2021-06-16T21:14:59.99999979045242400</v>
      </c>
      <c r="F434" s="178" t="s">
        <v>103</v>
      </c>
      <c r="G434" s="179">
        <v>110.401</v>
      </c>
      <c r="H434" s="179">
        <v>110.255</v>
      </c>
      <c r="I434" s="180">
        <f t="shared" si="115"/>
        <v>0.1460000000000008</v>
      </c>
      <c r="J434" s="179">
        <v>111.31699999999999</v>
      </c>
      <c r="K434" s="177" t="d">
        <v>2021-06-17T05:09:00.00000008381903175</v>
      </c>
      <c r="L434" s="179">
        <v>110.61799999999999</v>
      </c>
      <c r="M434" s="181">
        <f t="shared" si="116"/>
        <v>0.217</v>
      </c>
      <c r="N434" s="182">
        <f t="shared" si="117"/>
        <v>1.49</v>
      </c>
      <c r="O434" s="183">
        <f t="shared" si="118"/>
        <v>0</v>
      </c>
      <c r="P434" s="184">
        <f t="shared" si="119"/>
        <v>1.49</v>
      </c>
      <c r="Q434" s="184">
        <f t="shared" si="120"/>
        <v>0</v>
      </c>
      <c r="R43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38835</v>
      </c>
      <c r="T43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34" s="186">
        <f ca="1">IF(Tabla33610673[[#This Row],[Equity]]&lt;Tabla33610673[[#This Row],[Equity Peak]],(Tabla33610673[[#This Row],[Equity Peak]]-Tabla33610673[[#This Row],[Equity]])/Tabla33610673[[#This Row],[Equity Peak]],"")</f>
        <v>3.879710413959532E-2</v>
      </c>
      <c r="V434" s="187">
        <f t="shared" si="121"/>
        <v>1.49</v>
      </c>
      <c r="W434" s="187">
        <f t="shared" si="122"/>
        <v>0</v>
      </c>
      <c r="X434" s="187">
        <f t="shared" si="123"/>
        <v>0</v>
      </c>
      <c r="Y434" s="187">
        <f t="shared" si="124"/>
        <v>0</v>
      </c>
      <c r="Z434" s="187">
        <f t="shared" si="125"/>
        <v>0</v>
      </c>
      <c r="AA434" s="183">
        <f t="shared" si="126"/>
        <v>0</v>
      </c>
      <c r="AB434" s="187">
        <f t="shared" si="127"/>
        <v>0</v>
      </c>
      <c r="AC434" s="183">
        <f t="shared" si="128"/>
        <v>0</v>
      </c>
      <c r="AD434" s="188">
        <f t="shared" si="129"/>
        <v>0.32916666667006211</v>
      </c>
      <c r="AE434" s="188">
        <f t="shared" si="130"/>
        <v>0.32916666667006211</v>
      </c>
      <c r="AF434" s="188">
        <f t="shared" si="131"/>
        <v>0</v>
      </c>
      <c r="AG434" s="188">
        <f t="shared" si="132"/>
        <v>0</v>
      </c>
    </row>
    <row r="435" spans="2:33" ht="15" customHeight="1" x14ac:dyDescent="0.15">
      <c r="B435" s="174" t="s">
        <v>5</v>
      </c>
      <c r="C435" s="175" t="s">
        <v>13</v>
      </c>
      <c r="D435" s="176" t="str">
        <f t="shared" si="114"/>
        <v>C</v>
      </c>
      <c r="E435" s="177" t="d">
        <v>2021-06-16T19:30:00.000</v>
      </c>
      <c r="F435" s="178" t="s">
        <v>82</v>
      </c>
      <c r="G435" s="179">
        <v>4238.37</v>
      </c>
      <c r="H435" s="179">
        <v>4248.66</v>
      </c>
      <c r="I435" s="180">
        <f t="shared" si="115"/>
        <v>10.289999999999964</v>
      </c>
      <c r="J435" s="179">
        <v>4171.47</v>
      </c>
      <c r="K435" s="177" t="d">
        <v>2021-06-16T21:52:00.00000011175870900</v>
      </c>
      <c r="L435" s="179">
        <v>4214.66</v>
      </c>
      <c r="M435" s="181">
        <f t="shared" si="116"/>
        <v>23.71</v>
      </c>
      <c r="N435" s="182">
        <f t="shared" si="117"/>
        <v>2.2999999999999998</v>
      </c>
      <c r="O435" s="183">
        <f t="shared" si="118"/>
        <v>0</v>
      </c>
      <c r="P435" s="184">
        <f t="shared" si="119"/>
        <v>2.2999999999999998</v>
      </c>
      <c r="Q435" s="184">
        <f t="shared" si="120"/>
        <v>0</v>
      </c>
      <c r="R43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38462.5</v>
      </c>
      <c r="T43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35" s="186">
        <f ca="1">IF(Tabla33610673[[#This Row],[Equity]]&lt;Tabla33610673[[#This Row],[Equity Peak]],(Tabla33610673[[#This Row],[Equity Peak]]-Tabla33610673[[#This Row],[Equity]])/Tabla33610673[[#This Row],[Equity Peak]],"")</f>
        <v>4.8016830641668215E-2</v>
      </c>
      <c r="V435" s="187">
        <f t="shared" si="121"/>
        <v>0</v>
      </c>
      <c r="W435" s="187">
        <f t="shared" si="122"/>
        <v>0</v>
      </c>
      <c r="X435" s="187">
        <f t="shared" si="123"/>
        <v>0</v>
      </c>
      <c r="Y435" s="187">
        <f t="shared" si="124"/>
        <v>0</v>
      </c>
      <c r="Z435" s="187">
        <f t="shared" si="125"/>
        <v>2.2999999999999998</v>
      </c>
      <c r="AA435" s="183">
        <f t="shared" si="126"/>
        <v>0</v>
      </c>
      <c r="AB435" s="187">
        <f t="shared" si="127"/>
        <v>0</v>
      </c>
      <c r="AC435" s="183">
        <f t="shared" si="128"/>
        <v>0</v>
      </c>
      <c r="AD435" s="188">
        <f t="shared" si="129"/>
        <v>9.8611111112404615E-2</v>
      </c>
      <c r="AE435" s="188">
        <f t="shared" si="130"/>
        <v>9.8611111112404615E-2</v>
      </c>
      <c r="AF435" s="188">
        <f t="shared" si="131"/>
        <v>0</v>
      </c>
      <c r="AG435" s="188">
        <f t="shared" si="132"/>
        <v>0</v>
      </c>
    </row>
    <row r="436" spans="2:33" ht="15" customHeight="1" x14ac:dyDescent="0.15">
      <c r="B436" s="174" t="s">
        <v>19</v>
      </c>
      <c r="C436" s="175" t="s">
        <v>15</v>
      </c>
      <c r="D436" s="176" t="str">
        <f t="shared" si="114"/>
        <v>C</v>
      </c>
      <c r="E436" s="177" t="d">
        <v>2021-06-16T21:00:00.000</v>
      </c>
      <c r="F436" s="178" t="s">
        <v>77</v>
      </c>
      <c r="G436" s="179">
        <v>1861.99</v>
      </c>
      <c r="H436" s="179">
        <v>1856.87</v>
      </c>
      <c r="I436" s="180">
        <f t="shared" si="115"/>
        <v>5.1200000000001182</v>
      </c>
      <c r="J436" s="179">
        <v>1886.54</v>
      </c>
      <c r="K436" s="177" t="d">
        <v>2021-06-16T21:00:00.000</v>
      </c>
      <c r="L436" s="179">
        <v>1856.87</v>
      </c>
      <c r="M436" s="181">
        <f t="shared" si="116"/>
        <v>-5.12</v>
      </c>
      <c r="N436" s="182">
        <f t="shared" si="117"/>
        <v>-1</v>
      </c>
      <c r="O436" s="183">
        <f t="shared" si="118"/>
        <v>0</v>
      </c>
      <c r="P436" s="184">
        <f t="shared" si="119"/>
        <v>0</v>
      </c>
      <c r="Q436" s="184">
        <f t="shared" si="120"/>
        <v>-1</v>
      </c>
      <c r="R43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37887.5</v>
      </c>
      <c r="T43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36" s="186">
        <f ca="1">IF(Tabla33610673[[#This Row],[Equity]]&lt;Tabla33610673[[#This Row],[Equity Peak]],(Tabla33610673[[#This Row],[Equity Peak]]-Tabla33610673[[#This Row],[Equity]])/Tabla33610673[[#This Row],[Equity Peak]],"")</f>
        <v>6.2248623228760597E-2</v>
      </c>
      <c r="V436" s="187">
        <f t="shared" si="121"/>
        <v>0</v>
      </c>
      <c r="W436" s="187">
        <f t="shared" si="122"/>
        <v>0</v>
      </c>
      <c r="X436" s="187">
        <f t="shared" si="123"/>
        <v>-1</v>
      </c>
      <c r="Y436" s="187">
        <f t="shared" si="124"/>
        <v>0</v>
      </c>
      <c r="Z436" s="187">
        <f t="shared" si="125"/>
        <v>0</v>
      </c>
      <c r="AA436" s="183">
        <f t="shared" si="126"/>
        <v>0</v>
      </c>
      <c r="AB436" s="187">
        <f t="shared" si="127"/>
        <v>0</v>
      </c>
      <c r="AC436" s="183">
        <f t="shared" si="128"/>
        <v>0</v>
      </c>
      <c r="AD436" s="188">
        <f t="shared" si="129"/>
        <v>0</v>
      </c>
      <c r="AE436" s="188">
        <f t="shared" si="130"/>
        <v>0</v>
      </c>
      <c r="AF436" s="188">
        <f t="shared" si="131"/>
        <v>0</v>
      </c>
      <c r="AG436" s="188">
        <f t="shared" si="132"/>
        <v>0</v>
      </c>
    </row>
    <row r="437" spans="2:33" ht="15" customHeight="1" x14ac:dyDescent="0.15">
      <c r="B437" s="174" t="s">
        <v>19</v>
      </c>
      <c r="C437" s="175" t="s">
        <v>15</v>
      </c>
      <c r="D437" s="176" t="str">
        <f t="shared" si="114"/>
        <v>C</v>
      </c>
      <c r="E437" s="177" t="d">
        <v>2021-06-16T08:45:00.00000020954757600</v>
      </c>
      <c r="F437" s="178" t="s">
        <v>77</v>
      </c>
      <c r="G437" s="179">
        <v>1860.93</v>
      </c>
      <c r="H437" s="179">
        <v>1855.96</v>
      </c>
      <c r="I437" s="180">
        <f t="shared" si="115"/>
        <v>4.9700000000000273</v>
      </c>
      <c r="J437" s="179">
        <v>1884.8</v>
      </c>
      <c r="K437" s="177" t="d">
        <v>2021-06-16T13:54:00.00000029336660775</v>
      </c>
      <c r="L437" s="179">
        <v>1855.96</v>
      </c>
      <c r="M437" s="181">
        <f t="shared" si="116"/>
        <v>-4.97</v>
      </c>
      <c r="N437" s="182">
        <f t="shared" si="117"/>
        <v>-1</v>
      </c>
      <c r="O437" s="183">
        <f t="shared" si="118"/>
        <v>0</v>
      </c>
      <c r="P437" s="184">
        <f t="shared" si="119"/>
        <v>0</v>
      </c>
      <c r="Q437" s="184">
        <f t="shared" si="120"/>
        <v>-1</v>
      </c>
      <c r="R43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38137.5</v>
      </c>
      <c r="T43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37" s="186">
        <f ca="1">IF(Tabla33610673[[#This Row],[Equity]]&lt;Tabla33610673[[#This Row],[Equity Peak]],(Tabla33610673[[#This Row],[Equity Peak]]-Tabla33610673[[#This Row],[Equity]])/Tabla33610673[[#This Row],[Equity Peak]],"")</f>
        <v>5.6060887321329127E-2</v>
      </c>
      <c r="V437" s="187">
        <f t="shared" si="121"/>
        <v>0</v>
      </c>
      <c r="W437" s="187">
        <f t="shared" si="122"/>
        <v>0</v>
      </c>
      <c r="X437" s="187">
        <f t="shared" si="123"/>
        <v>-1</v>
      </c>
      <c r="Y437" s="187">
        <f t="shared" si="124"/>
        <v>0</v>
      </c>
      <c r="Z437" s="187">
        <f t="shared" si="125"/>
        <v>0</v>
      </c>
      <c r="AA437" s="183">
        <f t="shared" si="126"/>
        <v>0</v>
      </c>
      <c r="AB437" s="187">
        <f t="shared" si="127"/>
        <v>0</v>
      </c>
      <c r="AC437" s="183">
        <f t="shared" si="128"/>
        <v>0</v>
      </c>
      <c r="AD437" s="188">
        <f t="shared" si="129"/>
        <v>0.21458333333430346</v>
      </c>
      <c r="AE437" s="188">
        <f t="shared" si="130"/>
        <v>0</v>
      </c>
      <c r="AF437" s="188">
        <f t="shared" si="131"/>
        <v>0.21458333333430346</v>
      </c>
      <c r="AG437" s="188">
        <f t="shared" si="132"/>
        <v>0</v>
      </c>
    </row>
    <row r="438" spans="2:33" ht="15" customHeight="1" x14ac:dyDescent="0.15">
      <c r="B438" s="174" t="s">
        <v>5</v>
      </c>
      <c r="C438" s="175" t="s">
        <v>15</v>
      </c>
      <c r="D438" s="176" t="str">
        <f t="shared" si="114"/>
        <v>C</v>
      </c>
      <c r="E438" s="177" t="d">
        <v>2021-06-14T19:15:00.00000020954757600</v>
      </c>
      <c r="F438" s="178" t="s">
        <v>81</v>
      </c>
      <c r="G438" s="179">
        <v>14061.22</v>
      </c>
      <c r="H438" s="179">
        <v>14024.94</v>
      </c>
      <c r="I438" s="180">
        <f t="shared" si="115"/>
        <v>36.279999999998836</v>
      </c>
      <c r="J438" s="179">
        <v>14278.89</v>
      </c>
      <c r="K438" s="177" t="d">
        <v>2021-06-15T15:39:00.00000008381903175</v>
      </c>
      <c r="L438" s="179">
        <v>14124.61</v>
      </c>
      <c r="M438" s="181">
        <f t="shared" si="116"/>
        <v>63.39</v>
      </c>
      <c r="N438" s="182">
        <f t="shared" si="117"/>
        <v>1.75</v>
      </c>
      <c r="O438" s="183">
        <f t="shared" si="118"/>
        <v>0</v>
      </c>
      <c r="P438" s="184">
        <f t="shared" si="119"/>
        <v>1.75</v>
      </c>
      <c r="Q438" s="184">
        <f t="shared" si="120"/>
        <v>0</v>
      </c>
      <c r="R43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38387.5</v>
      </c>
      <c r="T43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38" s="186">
        <f ca="1">IF(Tabla33610673[[#This Row],[Equity]]&lt;Tabla33610673[[#This Row],[Equity Peak]],(Tabla33610673[[#This Row],[Equity Peak]]-Tabla33610673[[#This Row],[Equity]])/Tabla33610673[[#This Row],[Equity Peak]],"")</f>
        <v>4.9873151413897657E-2</v>
      </c>
      <c r="V438" s="187">
        <f t="shared" si="121"/>
        <v>0</v>
      </c>
      <c r="W438" s="187">
        <f t="shared" si="122"/>
        <v>0</v>
      </c>
      <c r="X438" s="187">
        <f t="shared" si="123"/>
        <v>0</v>
      </c>
      <c r="Y438" s="187">
        <f t="shared" si="124"/>
        <v>0</v>
      </c>
      <c r="Z438" s="187">
        <f t="shared" si="125"/>
        <v>1.75</v>
      </c>
      <c r="AA438" s="183">
        <f t="shared" si="126"/>
        <v>0</v>
      </c>
      <c r="AB438" s="187">
        <f t="shared" si="127"/>
        <v>0</v>
      </c>
      <c r="AC438" s="183">
        <f t="shared" si="128"/>
        <v>0</v>
      </c>
      <c r="AD438" s="188">
        <f t="shared" si="129"/>
        <v>0.84999999999854481</v>
      </c>
      <c r="AE438" s="188">
        <f t="shared" si="130"/>
        <v>0.84999999999854481</v>
      </c>
      <c r="AF438" s="188">
        <f t="shared" si="131"/>
        <v>0</v>
      </c>
      <c r="AG438" s="188">
        <f t="shared" si="132"/>
        <v>0</v>
      </c>
    </row>
    <row r="439" spans="2:33" ht="15" customHeight="1" x14ac:dyDescent="0.15">
      <c r="B439" s="174" t="s">
        <v>5</v>
      </c>
      <c r="C439" s="175" t="s">
        <v>15</v>
      </c>
      <c r="D439" s="176" t="str">
        <f t="shared" si="114"/>
        <v>C</v>
      </c>
      <c r="E439" s="177" t="d">
        <v>2021-06-15T03:30:00.00000020954757600</v>
      </c>
      <c r="F439" s="178" t="s">
        <v>82</v>
      </c>
      <c r="G439" s="179">
        <v>4259.76</v>
      </c>
      <c r="H439" s="179">
        <v>4248.4799999999996</v>
      </c>
      <c r="I439" s="180">
        <f t="shared" si="115"/>
        <v>11.280000000000655</v>
      </c>
      <c r="J439" s="179">
        <v>4333.09</v>
      </c>
      <c r="K439" s="177" t="d">
        <v>2021-06-15T13:09:00.00000029336660775</v>
      </c>
      <c r="L439" s="179">
        <v>4256.1000000000004</v>
      </c>
      <c r="M439" s="181">
        <f t="shared" si="116"/>
        <v>-3.66</v>
      </c>
      <c r="N439" s="182">
        <f t="shared" si="117"/>
        <v>-0.32</v>
      </c>
      <c r="O439" s="183">
        <f t="shared" si="118"/>
        <v>0</v>
      </c>
      <c r="P439" s="184">
        <f t="shared" si="119"/>
        <v>0</v>
      </c>
      <c r="Q439" s="184">
        <f t="shared" si="120"/>
        <v>-0.32</v>
      </c>
      <c r="R43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37950</v>
      </c>
      <c r="T43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39" s="186">
        <f ca="1">IF(Tabla33610673[[#This Row],[Equity]]&lt;Tabla33610673[[#This Row],[Equity Peak]],(Tabla33610673[[#This Row],[Equity Peak]]-Tabla33610673[[#This Row],[Equity]])/Tabla33610673[[#This Row],[Equity Peak]],"")</f>
        <v>6.0701689251902731E-2</v>
      </c>
      <c r="V439" s="187">
        <f t="shared" si="121"/>
        <v>0</v>
      </c>
      <c r="W439" s="187">
        <f t="shared" si="122"/>
        <v>0</v>
      </c>
      <c r="X439" s="187">
        <f t="shared" si="123"/>
        <v>0</v>
      </c>
      <c r="Y439" s="187">
        <f t="shared" si="124"/>
        <v>0</v>
      </c>
      <c r="Z439" s="187">
        <f t="shared" si="125"/>
        <v>-0.32</v>
      </c>
      <c r="AA439" s="183">
        <f t="shared" si="126"/>
        <v>0</v>
      </c>
      <c r="AB439" s="187">
        <f t="shared" si="127"/>
        <v>0</v>
      </c>
      <c r="AC439" s="183">
        <f t="shared" si="128"/>
        <v>0</v>
      </c>
      <c r="AD439" s="188">
        <f t="shared" si="129"/>
        <v>0.40208333333430346</v>
      </c>
      <c r="AE439" s="188">
        <f t="shared" si="130"/>
        <v>0</v>
      </c>
      <c r="AF439" s="188">
        <f t="shared" si="131"/>
        <v>0.40208333333430346</v>
      </c>
      <c r="AG439" s="188">
        <f t="shared" si="132"/>
        <v>0</v>
      </c>
    </row>
    <row r="440" spans="2:33" ht="15" customHeight="1" x14ac:dyDescent="0.15">
      <c r="B440" s="174" t="s">
        <v>7</v>
      </c>
      <c r="C440" s="175" t="s">
        <v>15</v>
      </c>
      <c r="D440" s="176" t="str">
        <f t="shared" si="114"/>
        <v>C</v>
      </c>
      <c r="E440" s="177" t="d">
        <v>2021-06-14T17:45:00.00000020954757600</v>
      </c>
      <c r="F440" s="178" t="s">
        <v>102</v>
      </c>
      <c r="G440" s="179">
        <v>155.24199999999999</v>
      </c>
      <c r="H440" s="179">
        <v>155.005</v>
      </c>
      <c r="I440" s="180">
        <f t="shared" si="115"/>
        <v>0.23699999999999477</v>
      </c>
      <c r="J440" s="179">
        <v>156.50700000000001</v>
      </c>
      <c r="K440" s="177" t="d">
        <v>2021-06-15T11:48:59.999999734573066125</v>
      </c>
      <c r="L440" s="179">
        <v>155.18700000000001</v>
      </c>
      <c r="M440" s="181">
        <f t="shared" si="116"/>
        <v>-5.5E-2</v>
      </c>
      <c r="N440" s="182">
        <f t="shared" si="117"/>
        <v>-0.23</v>
      </c>
      <c r="O440" s="183">
        <f t="shared" si="118"/>
        <v>0</v>
      </c>
      <c r="P440" s="184">
        <f t="shared" si="119"/>
        <v>0</v>
      </c>
      <c r="Q440" s="184">
        <f t="shared" si="120"/>
        <v>-0.23</v>
      </c>
      <c r="R44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38030</v>
      </c>
      <c r="T44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40" s="186">
        <f ca="1">IF(Tabla33610673[[#This Row],[Equity]]&lt;Tabla33610673[[#This Row],[Equity Peak]],(Tabla33610673[[#This Row],[Equity Peak]]-Tabla33610673[[#This Row],[Equity]])/Tabla33610673[[#This Row],[Equity Peak]],"")</f>
        <v>5.8721613761524655E-2</v>
      </c>
      <c r="V440" s="187">
        <f t="shared" si="121"/>
        <v>-0.23</v>
      </c>
      <c r="W440" s="187">
        <f t="shared" si="122"/>
        <v>0</v>
      </c>
      <c r="X440" s="187">
        <f t="shared" si="123"/>
        <v>0</v>
      </c>
      <c r="Y440" s="187">
        <f t="shared" si="124"/>
        <v>0</v>
      </c>
      <c r="Z440" s="187">
        <f t="shared" si="125"/>
        <v>0</v>
      </c>
      <c r="AA440" s="183">
        <f t="shared" si="126"/>
        <v>0</v>
      </c>
      <c r="AB440" s="187">
        <f t="shared" si="127"/>
        <v>0</v>
      </c>
      <c r="AC440" s="183">
        <f t="shared" si="128"/>
        <v>0</v>
      </c>
      <c r="AD440" s="188">
        <f t="shared" si="129"/>
        <v>0.75277777777228039</v>
      </c>
      <c r="AE440" s="188">
        <f t="shared" si="130"/>
        <v>0</v>
      </c>
      <c r="AF440" s="188">
        <f t="shared" si="131"/>
        <v>0.75277777777228039</v>
      </c>
      <c r="AG440" s="188">
        <f t="shared" si="132"/>
        <v>0</v>
      </c>
    </row>
    <row r="441" spans="2:33" ht="15" customHeight="1" x14ac:dyDescent="0.15">
      <c r="B441" s="174" t="s">
        <v>5</v>
      </c>
      <c r="C441" s="175" t="s">
        <v>15</v>
      </c>
      <c r="D441" s="176" t="str">
        <f t="shared" si="114"/>
        <v>C</v>
      </c>
      <c r="E441" s="177" t="d">
        <v>2021-06-14T01:15:00.00000020954757600</v>
      </c>
      <c r="F441" s="178" t="s">
        <v>81</v>
      </c>
      <c r="G441" s="179">
        <v>14019.14</v>
      </c>
      <c r="H441" s="179">
        <v>13976.04</v>
      </c>
      <c r="I441" s="180">
        <f t="shared" si="115"/>
        <v>43.099999999998545</v>
      </c>
      <c r="J441" s="179">
        <v>14277.75</v>
      </c>
      <c r="K441" s="177" t="d">
        <v>2021-06-14T16:37:00.00000011175870900</v>
      </c>
      <c r="L441" s="179">
        <v>13984.27</v>
      </c>
      <c r="M441" s="181">
        <f t="shared" si="116"/>
        <v>-34.869999999999997</v>
      </c>
      <c r="N441" s="182">
        <f t="shared" si="117"/>
        <v>-0.81</v>
      </c>
      <c r="O441" s="183">
        <f t="shared" si="118"/>
        <v>0</v>
      </c>
      <c r="P441" s="184">
        <f t="shared" si="119"/>
        <v>0</v>
      </c>
      <c r="Q441" s="184">
        <f t="shared" si="120"/>
        <v>-0.81</v>
      </c>
      <c r="R44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38087.5</v>
      </c>
      <c r="T44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41" s="186">
        <f ca="1">IF(Tabla33610673[[#This Row],[Equity]]&lt;Tabla33610673[[#This Row],[Equity Peak]],(Tabla33610673[[#This Row],[Equity Peak]]-Tabla33610673[[#This Row],[Equity]])/Tabla33610673[[#This Row],[Equity Peak]],"")</f>
        <v>5.7298434502815417E-2</v>
      </c>
      <c r="V441" s="187">
        <f t="shared" si="121"/>
        <v>0</v>
      </c>
      <c r="W441" s="187">
        <f t="shared" si="122"/>
        <v>0</v>
      </c>
      <c r="X441" s="187">
        <f t="shared" si="123"/>
        <v>0</v>
      </c>
      <c r="Y441" s="187">
        <f t="shared" si="124"/>
        <v>0</v>
      </c>
      <c r="Z441" s="187">
        <f t="shared" si="125"/>
        <v>-0.81</v>
      </c>
      <c r="AA441" s="183">
        <f t="shared" si="126"/>
        <v>0</v>
      </c>
      <c r="AB441" s="187">
        <f t="shared" si="127"/>
        <v>0</v>
      </c>
      <c r="AC441" s="183">
        <f t="shared" si="128"/>
        <v>0</v>
      </c>
      <c r="AD441" s="188">
        <f t="shared" si="129"/>
        <v>0.64027777777664596</v>
      </c>
      <c r="AE441" s="188">
        <f t="shared" si="130"/>
        <v>0</v>
      </c>
      <c r="AF441" s="188">
        <f t="shared" si="131"/>
        <v>0.64027777777664596</v>
      </c>
      <c r="AG441" s="188">
        <f t="shared" si="132"/>
        <v>0</v>
      </c>
    </row>
    <row r="442" spans="2:33" ht="15" customHeight="1" x14ac:dyDescent="0.15">
      <c r="B442" s="174" t="s">
        <v>5</v>
      </c>
      <c r="C442" s="175" t="s">
        <v>15</v>
      </c>
      <c r="D442" s="176" t="str">
        <f t="shared" si="114"/>
        <v>C</v>
      </c>
      <c r="E442" s="177" t="d">
        <v>2021-06-14T01:15:00.00000020954757600</v>
      </c>
      <c r="F442" s="178" t="s">
        <v>82</v>
      </c>
      <c r="G442" s="179">
        <v>4250.62</v>
      </c>
      <c r="H442" s="179">
        <v>4238.93</v>
      </c>
      <c r="I442" s="180">
        <f t="shared" si="115"/>
        <v>11.6899999999996</v>
      </c>
      <c r="J442" s="179">
        <v>4326.59</v>
      </c>
      <c r="K442" s="177" t="d">
        <v>2021-06-14T15:53:59.99999987427145575</v>
      </c>
      <c r="L442" s="179">
        <v>4243.67</v>
      </c>
      <c r="M442" s="181">
        <f t="shared" si="116"/>
        <v>-6.95</v>
      </c>
      <c r="N442" s="182">
        <f t="shared" si="117"/>
        <v>-0.59</v>
      </c>
      <c r="O442" s="183">
        <f t="shared" si="118"/>
        <v>0</v>
      </c>
      <c r="P442" s="184">
        <f t="shared" si="119"/>
        <v>0</v>
      </c>
      <c r="Q442" s="184">
        <f t="shared" si="120"/>
        <v>-0.59</v>
      </c>
      <c r="R44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38290</v>
      </c>
      <c r="T44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42" s="186">
        <f ca="1">IF(Tabla33610673[[#This Row],[Equity]]&lt;Tabla33610673[[#This Row],[Equity Peak]],(Tabla33610673[[#This Row],[Equity Peak]]-Tabla33610673[[#This Row],[Equity]])/Tabla33610673[[#This Row],[Equity Peak]],"")</f>
        <v>5.228636841779593E-2</v>
      </c>
      <c r="V442" s="187">
        <f t="shared" si="121"/>
        <v>0</v>
      </c>
      <c r="W442" s="187">
        <f t="shared" si="122"/>
        <v>0</v>
      </c>
      <c r="X442" s="187">
        <f t="shared" si="123"/>
        <v>0</v>
      </c>
      <c r="Y442" s="187">
        <f t="shared" si="124"/>
        <v>0</v>
      </c>
      <c r="Z442" s="187">
        <f t="shared" si="125"/>
        <v>-0.59</v>
      </c>
      <c r="AA442" s="183">
        <f t="shared" si="126"/>
        <v>0</v>
      </c>
      <c r="AB442" s="187">
        <f t="shared" si="127"/>
        <v>0</v>
      </c>
      <c r="AC442" s="183">
        <f t="shared" si="128"/>
        <v>0</v>
      </c>
      <c r="AD442" s="188">
        <f t="shared" si="129"/>
        <v>0.61041666666278616</v>
      </c>
      <c r="AE442" s="188">
        <f t="shared" si="130"/>
        <v>0</v>
      </c>
      <c r="AF442" s="188">
        <f t="shared" si="131"/>
        <v>0.61041666666278616</v>
      </c>
      <c r="AG442" s="188">
        <f t="shared" si="132"/>
        <v>0</v>
      </c>
    </row>
    <row r="443" spans="2:33" ht="15" customHeight="1" x14ac:dyDescent="0.15">
      <c r="B443" s="174" t="s">
        <v>5</v>
      </c>
      <c r="C443" s="175" t="s">
        <v>15</v>
      </c>
      <c r="D443" s="176" t="str">
        <f t="shared" si="114"/>
        <v>C</v>
      </c>
      <c r="E443" s="177" t="d">
        <v>2021-06-14T05:29:59.99999979045242400</v>
      </c>
      <c r="F443" s="178" t="s">
        <v>80</v>
      </c>
      <c r="G443" s="179">
        <v>15730.06</v>
      </c>
      <c r="H443" s="179">
        <v>15684.25</v>
      </c>
      <c r="I443" s="180">
        <f t="shared" si="115"/>
        <v>45.809999999999491</v>
      </c>
      <c r="J443" s="179">
        <v>16065.99</v>
      </c>
      <c r="K443" s="177" t="d">
        <v>2021-06-14T11:45:00.00000020954757600</v>
      </c>
      <c r="L443" s="179">
        <v>15716.74</v>
      </c>
      <c r="M443" s="181">
        <f t="shared" si="116"/>
        <v>-13.32</v>
      </c>
      <c r="N443" s="182">
        <f t="shared" si="117"/>
        <v>-0.28999999999999998</v>
      </c>
      <c r="O443" s="183">
        <f t="shared" si="118"/>
        <v>0</v>
      </c>
      <c r="P443" s="184">
        <f t="shared" si="119"/>
        <v>0</v>
      </c>
      <c r="Q443" s="184">
        <f t="shared" si="120"/>
        <v>-0.28999999999999998</v>
      </c>
      <c r="R44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38437.5</v>
      </c>
      <c r="T44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43" s="186">
        <f ca="1">IF(Tabla33610673[[#This Row],[Equity]]&lt;Tabla33610673[[#This Row],[Equity Peak]],(Tabla33610673[[#This Row],[Equity Peak]]-Tabla33610673[[#This Row],[Equity]])/Tabla33610673[[#This Row],[Equity Peak]],"")</f>
        <v>4.863560423241136E-2</v>
      </c>
      <c r="V443" s="187">
        <f t="shared" si="121"/>
        <v>0</v>
      </c>
      <c r="W443" s="187">
        <f t="shared" si="122"/>
        <v>0</v>
      </c>
      <c r="X443" s="187">
        <f t="shared" si="123"/>
        <v>0</v>
      </c>
      <c r="Y443" s="187">
        <f t="shared" si="124"/>
        <v>0</v>
      </c>
      <c r="Z443" s="187">
        <f t="shared" si="125"/>
        <v>-0.28999999999999998</v>
      </c>
      <c r="AA443" s="183">
        <f t="shared" si="126"/>
        <v>0</v>
      </c>
      <c r="AB443" s="187">
        <f t="shared" si="127"/>
        <v>0</v>
      </c>
      <c r="AC443" s="183">
        <f t="shared" si="128"/>
        <v>0</v>
      </c>
      <c r="AD443" s="188">
        <f t="shared" si="129"/>
        <v>0.26041666667151731</v>
      </c>
      <c r="AE443" s="188">
        <f t="shared" si="130"/>
        <v>0</v>
      </c>
      <c r="AF443" s="188">
        <f t="shared" si="131"/>
        <v>0.26041666667151731</v>
      </c>
      <c r="AG443" s="188">
        <f t="shared" si="132"/>
        <v>0</v>
      </c>
    </row>
    <row r="444" spans="2:33" ht="15" customHeight="1" x14ac:dyDescent="0.15">
      <c r="B444" s="174" t="s">
        <v>19</v>
      </c>
      <c r="C444" s="175" t="s">
        <v>15</v>
      </c>
      <c r="D444" s="176" t="str">
        <f t="shared" si="114"/>
        <v>C</v>
      </c>
      <c r="E444" s="177" t="d">
        <v>2021-06-10T21:59:59.99999979045242400</v>
      </c>
      <c r="F444" s="178" t="s">
        <v>77</v>
      </c>
      <c r="G444" s="179">
        <v>1896.1</v>
      </c>
      <c r="H444" s="179">
        <v>1891.12</v>
      </c>
      <c r="I444" s="180">
        <f t="shared" si="115"/>
        <v>4.9800000000000182</v>
      </c>
      <c r="J444" s="179">
        <v>1919.98</v>
      </c>
      <c r="K444" s="177" t="d">
        <v>2021-06-11T12:18:59.99999994412064550</v>
      </c>
      <c r="L444" s="179">
        <v>1892.88</v>
      </c>
      <c r="M444" s="181">
        <f t="shared" si="116"/>
        <v>-3.22</v>
      </c>
      <c r="N444" s="182">
        <f t="shared" si="117"/>
        <v>-0.65</v>
      </c>
      <c r="O444" s="183">
        <f t="shared" si="118"/>
        <v>0</v>
      </c>
      <c r="P444" s="184">
        <f t="shared" si="119"/>
        <v>0</v>
      </c>
      <c r="Q444" s="184">
        <f t="shared" si="120"/>
        <v>-0.65</v>
      </c>
      <c r="R44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38510</v>
      </c>
      <c r="T44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44" s="186">
        <f ca="1">IF(Tabla33610673[[#This Row],[Equity]]&lt;Tabla33610673[[#This Row],[Equity Peak]],(Tabla33610673[[#This Row],[Equity Peak]]-Tabla33610673[[#This Row],[Equity]])/Tabla33610673[[#This Row],[Equity Peak]],"")</f>
        <v>4.6841160819256232E-2</v>
      </c>
      <c r="V444" s="187">
        <f t="shared" si="121"/>
        <v>0</v>
      </c>
      <c r="W444" s="187">
        <f t="shared" si="122"/>
        <v>0</v>
      </c>
      <c r="X444" s="187">
        <f t="shared" si="123"/>
        <v>-0.65</v>
      </c>
      <c r="Y444" s="187">
        <f t="shared" si="124"/>
        <v>0</v>
      </c>
      <c r="Z444" s="187">
        <f t="shared" si="125"/>
        <v>0</v>
      </c>
      <c r="AA444" s="183">
        <f t="shared" si="126"/>
        <v>0</v>
      </c>
      <c r="AB444" s="187">
        <f t="shared" si="127"/>
        <v>0</v>
      </c>
      <c r="AC444" s="183">
        <f t="shared" si="128"/>
        <v>0</v>
      </c>
      <c r="AD444" s="188">
        <f t="shared" si="129"/>
        <v>0.59652777777955635</v>
      </c>
      <c r="AE444" s="188">
        <f t="shared" si="130"/>
        <v>0</v>
      </c>
      <c r="AF444" s="188">
        <f t="shared" si="131"/>
        <v>0.59652777777955635</v>
      </c>
      <c r="AG444" s="188">
        <f t="shared" si="132"/>
        <v>0</v>
      </c>
    </row>
    <row r="445" spans="2:33" ht="15" customHeight="1" x14ac:dyDescent="0.15">
      <c r="B445" s="174" t="s">
        <v>5</v>
      </c>
      <c r="C445" s="175" t="s">
        <v>15</v>
      </c>
      <c r="D445" s="176" t="str">
        <f t="shared" si="114"/>
        <v>C</v>
      </c>
      <c r="E445" s="177" t="d">
        <v>2021-06-10T16:44:59.99999979045242400</v>
      </c>
      <c r="F445" s="178" t="s">
        <v>81</v>
      </c>
      <c r="G445" s="179">
        <v>13920.94</v>
      </c>
      <c r="H445" s="179">
        <v>13874.18</v>
      </c>
      <c r="I445" s="180">
        <f t="shared" si="115"/>
        <v>46.760000000000218</v>
      </c>
      <c r="J445" s="179">
        <v>14201.48</v>
      </c>
      <c r="K445" s="177" t="d">
        <v>2021-06-10T17:51:00.00000012572854425</v>
      </c>
      <c r="L445" s="179">
        <v>13875.01</v>
      </c>
      <c r="M445" s="181">
        <f t="shared" si="116"/>
        <v>-45.93</v>
      </c>
      <c r="N445" s="182">
        <f t="shared" si="117"/>
        <v>-0.98</v>
      </c>
      <c r="O445" s="183">
        <f t="shared" si="118"/>
        <v>0</v>
      </c>
      <c r="P445" s="184">
        <f t="shared" si="119"/>
        <v>0</v>
      </c>
      <c r="Q445" s="184">
        <f t="shared" si="120"/>
        <v>-0.98</v>
      </c>
      <c r="R44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38672.5</v>
      </c>
      <c r="T44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45" s="186">
        <f ca="1">IF(Tabla33610673[[#This Row],[Equity]]&lt;Tabla33610673[[#This Row],[Equity Peak]],(Tabla33610673[[#This Row],[Equity Peak]]-Tabla33610673[[#This Row],[Equity]])/Tabla33610673[[#This Row],[Equity Peak]],"")</f>
        <v>4.281913247942578E-2</v>
      </c>
      <c r="V445" s="187">
        <f t="shared" si="121"/>
        <v>0</v>
      </c>
      <c r="W445" s="187">
        <f t="shared" si="122"/>
        <v>0</v>
      </c>
      <c r="X445" s="187">
        <f t="shared" si="123"/>
        <v>0</v>
      </c>
      <c r="Y445" s="187">
        <f t="shared" si="124"/>
        <v>0</v>
      </c>
      <c r="Z445" s="187">
        <f t="shared" si="125"/>
        <v>-0.98</v>
      </c>
      <c r="AA445" s="183">
        <f t="shared" si="126"/>
        <v>0</v>
      </c>
      <c r="AB445" s="187">
        <f t="shared" si="127"/>
        <v>0</v>
      </c>
      <c r="AC445" s="183">
        <f t="shared" si="128"/>
        <v>0</v>
      </c>
      <c r="AD445" s="188">
        <f t="shared" si="129"/>
        <v>4.5833333337213844E-2</v>
      </c>
      <c r="AE445" s="188">
        <f t="shared" si="130"/>
        <v>0</v>
      </c>
      <c r="AF445" s="188">
        <f t="shared" si="131"/>
        <v>4.5833333337213844E-2</v>
      </c>
      <c r="AG445" s="188">
        <f t="shared" si="132"/>
        <v>0</v>
      </c>
    </row>
    <row r="446" spans="2:33" ht="15" customHeight="1" x14ac:dyDescent="0.15">
      <c r="B446" s="174" t="s">
        <v>5</v>
      </c>
      <c r="C446" s="175" t="s">
        <v>15</v>
      </c>
      <c r="D446" s="176" t="str">
        <f t="shared" si="114"/>
        <v>C</v>
      </c>
      <c r="E446" s="177" t="d">
        <v>2021-06-10T15:59:59.99999979045242400</v>
      </c>
      <c r="F446" s="178" t="s">
        <v>82</v>
      </c>
      <c r="G446" s="179">
        <v>4232.21</v>
      </c>
      <c r="H446" s="179">
        <v>4220.33</v>
      </c>
      <c r="I446" s="180">
        <f t="shared" si="115"/>
        <v>11.880000000000109</v>
      </c>
      <c r="J446" s="179">
        <v>4309.45</v>
      </c>
      <c r="K446" s="177" t="d">
        <v>2021-06-10T17:39:00.00000029336660775</v>
      </c>
      <c r="L446" s="179">
        <v>4234.58</v>
      </c>
      <c r="M446" s="181">
        <f t="shared" si="116"/>
        <v>2.37</v>
      </c>
      <c r="N446" s="182">
        <f t="shared" si="117"/>
        <v>0.2</v>
      </c>
      <c r="O446" s="183">
        <f t="shared" si="118"/>
        <v>0</v>
      </c>
      <c r="P446" s="184">
        <f t="shared" si="119"/>
        <v>0.2</v>
      </c>
      <c r="Q446" s="184">
        <f t="shared" si="120"/>
        <v>0</v>
      </c>
      <c r="R44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38917.5</v>
      </c>
      <c r="T44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46" s="186">
        <f ca="1">IF(Tabla33610673[[#This Row],[Equity]]&lt;Tabla33610673[[#This Row],[Equity Peak]],(Tabla33610673[[#This Row],[Equity Peak]]-Tabla33610673[[#This Row],[Equity]])/Tabla33610673[[#This Row],[Equity Peak]],"")</f>
        <v>3.6755151290142937E-2</v>
      </c>
      <c r="V446" s="187">
        <f t="shared" si="121"/>
        <v>0</v>
      </c>
      <c r="W446" s="187">
        <f t="shared" si="122"/>
        <v>0</v>
      </c>
      <c r="X446" s="187">
        <f t="shared" si="123"/>
        <v>0</v>
      </c>
      <c r="Y446" s="187">
        <f t="shared" si="124"/>
        <v>0</v>
      </c>
      <c r="Z446" s="187">
        <f t="shared" si="125"/>
        <v>0.2</v>
      </c>
      <c r="AA446" s="183">
        <f t="shared" si="126"/>
        <v>0</v>
      </c>
      <c r="AB446" s="187">
        <f t="shared" si="127"/>
        <v>0</v>
      </c>
      <c r="AC446" s="183">
        <f t="shared" si="128"/>
        <v>0</v>
      </c>
      <c r="AD446" s="188">
        <f t="shared" si="129"/>
        <v>6.8750000005820766E-2</v>
      </c>
      <c r="AE446" s="188">
        <f t="shared" si="130"/>
        <v>6.8750000005820766E-2</v>
      </c>
      <c r="AF446" s="188">
        <f t="shared" si="131"/>
        <v>0</v>
      </c>
      <c r="AG446" s="188">
        <f t="shared" si="132"/>
        <v>0</v>
      </c>
    </row>
    <row r="447" spans="2:33" ht="15" customHeight="1" x14ac:dyDescent="0.15">
      <c r="B447" s="174" t="s">
        <v>19</v>
      </c>
      <c r="C447" s="175" t="s">
        <v>15</v>
      </c>
      <c r="D447" s="176" t="str">
        <f t="shared" si="114"/>
        <v>C</v>
      </c>
      <c r="E447" s="177" t="d">
        <v>2021-06-10T15:59:59.99999979045242400</v>
      </c>
      <c r="F447" s="178" t="s">
        <v>77</v>
      </c>
      <c r="G447" s="179">
        <v>1890.98</v>
      </c>
      <c r="H447" s="179">
        <v>1886.02</v>
      </c>
      <c r="I447" s="180">
        <f t="shared" si="115"/>
        <v>4.9600000000000364</v>
      </c>
      <c r="J447" s="179">
        <v>1914.81</v>
      </c>
      <c r="K447" s="177" t="d">
        <v>2021-06-10T16:30:00.000</v>
      </c>
      <c r="L447" s="179">
        <v>1886.02</v>
      </c>
      <c r="M447" s="181">
        <f t="shared" si="116"/>
        <v>-4.96</v>
      </c>
      <c r="N447" s="182">
        <f t="shared" si="117"/>
        <v>-1</v>
      </c>
      <c r="O447" s="183">
        <f t="shared" si="118"/>
        <v>0</v>
      </c>
      <c r="P447" s="184">
        <f t="shared" si="119"/>
        <v>0</v>
      </c>
      <c r="Q447" s="184">
        <f t="shared" si="120"/>
        <v>-1</v>
      </c>
      <c r="R44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38867.5</v>
      </c>
      <c r="T44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47" s="186">
        <f ca="1">IF(Tabla33610673[[#This Row],[Equity]]&lt;Tabla33610673[[#This Row],[Equity Peak]],(Tabla33610673[[#This Row],[Equity Peak]]-Tabla33610673[[#This Row],[Equity]])/Tabla33610673[[#This Row],[Equity Peak]],"")</f>
        <v>3.7992698471629234E-2</v>
      </c>
      <c r="V447" s="187">
        <f t="shared" si="121"/>
        <v>0</v>
      </c>
      <c r="W447" s="187">
        <f t="shared" si="122"/>
        <v>0</v>
      </c>
      <c r="X447" s="187">
        <f t="shared" si="123"/>
        <v>-1</v>
      </c>
      <c r="Y447" s="187">
        <f t="shared" si="124"/>
        <v>0</v>
      </c>
      <c r="Z447" s="187">
        <f t="shared" si="125"/>
        <v>0</v>
      </c>
      <c r="AA447" s="183">
        <f t="shared" si="126"/>
        <v>0</v>
      </c>
      <c r="AB447" s="187">
        <f t="shared" si="127"/>
        <v>0</v>
      </c>
      <c r="AC447" s="183">
        <f t="shared" si="128"/>
        <v>0</v>
      </c>
      <c r="AD447" s="188">
        <f t="shared" si="129"/>
        <v>2.0833333335758653E-2</v>
      </c>
      <c r="AE447" s="188">
        <f t="shared" si="130"/>
        <v>0</v>
      </c>
      <c r="AF447" s="188">
        <f t="shared" si="131"/>
        <v>2.0833333335758653E-2</v>
      </c>
      <c r="AG447" s="188">
        <f t="shared" si="132"/>
        <v>0</v>
      </c>
    </row>
    <row r="448" spans="2:33" ht="15" customHeight="1" x14ac:dyDescent="0.15">
      <c r="B448" s="174" t="s">
        <v>5</v>
      </c>
      <c r="C448" s="175" t="s">
        <v>13</v>
      </c>
      <c r="D448" s="176" t="str">
        <f t="shared" si="114"/>
        <v>C</v>
      </c>
      <c r="E448" s="177" t="d">
        <v>2021-06-10T10:15:00.00000020954757600</v>
      </c>
      <c r="F448" s="178" t="s">
        <v>82</v>
      </c>
      <c r="G448" s="179">
        <v>4215.05</v>
      </c>
      <c r="H448" s="179">
        <v>4226.8</v>
      </c>
      <c r="I448" s="180">
        <f t="shared" si="115"/>
        <v>11.75</v>
      </c>
      <c r="J448" s="179">
        <v>4138.67</v>
      </c>
      <c r="K448" s="177" t="d">
        <v>2021-06-10T15:39:00.00000008381903175</v>
      </c>
      <c r="L448" s="179">
        <v>4226.8</v>
      </c>
      <c r="M448" s="181">
        <f t="shared" si="116"/>
        <v>-11.75</v>
      </c>
      <c r="N448" s="182">
        <f t="shared" si="117"/>
        <v>-1</v>
      </c>
      <c r="O448" s="183">
        <f t="shared" si="118"/>
        <v>0</v>
      </c>
      <c r="P448" s="184">
        <f t="shared" si="119"/>
        <v>0</v>
      </c>
      <c r="Q448" s="184">
        <f t="shared" si="120"/>
        <v>-1</v>
      </c>
      <c r="R44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39117.5</v>
      </c>
      <c r="T44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48" s="186">
        <f ca="1">IF(Tabla33610673[[#This Row],[Equity]]&lt;Tabla33610673[[#This Row],[Equity Peak]],(Tabla33610673[[#This Row],[Equity Peak]]-Tabla33610673[[#This Row],[Equity]])/Tabla33610673[[#This Row],[Equity Peak]],"")</f>
        <v>3.1804962564197757E-2</v>
      </c>
      <c r="V448" s="187">
        <f t="shared" si="121"/>
        <v>0</v>
      </c>
      <c r="W448" s="187">
        <f t="shared" si="122"/>
        <v>0</v>
      </c>
      <c r="X448" s="187">
        <f t="shared" si="123"/>
        <v>0</v>
      </c>
      <c r="Y448" s="187">
        <f t="shared" si="124"/>
        <v>0</v>
      </c>
      <c r="Z448" s="187">
        <f t="shared" si="125"/>
        <v>-1</v>
      </c>
      <c r="AA448" s="183">
        <f t="shared" si="126"/>
        <v>0</v>
      </c>
      <c r="AB448" s="187">
        <f t="shared" si="127"/>
        <v>0</v>
      </c>
      <c r="AC448" s="183">
        <f t="shared" si="128"/>
        <v>0</v>
      </c>
      <c r="AD448" s="188">
        <f t="shared" si="129"/>
        <v>0.22499999999854481</v>
      </c>
      <c r="AE448" s="188">
        <f t="shared" si="130"/>
        <v>0</v>
      </c>
      <c r="AF448" s="188">
        <f t="shared" si="131"/>
        <v>0.22499999999854481</v>
      </c>
      <c r="AG448" s="188">
        <f t="shared" si="132"/>
        <v>0</v>
      </c>
    </row>
    <row r="449" spans="2:33" ht="15" customHeight="1" x14ac:dyDescent="0.15">
      <c r="B449" s="174" t="s">
        <v>7</v>
      </c>
      <c r="C449" s="175" t="s">
        <v>13</v>
      </c>
      <c r="D449" s="176" t="str">
        <f t="shared" si="114"/>
        <v>C</v>
      </c>
      <c r="E449" s="177" t="d">
        <v>2021-06-10T10:15:00.00000020954757600</v>
      </c>
      <c r="F449" s="178" t="s">
        <v>102</v>
      </c>
      <c r="G449" s="179">
        <v>154.268</v>
      </c>
      <c r="H449" s="179">
        <v>154.46700000000001</v>
      </c>
      <c r="I449" s="180">
        <f t="shared" si="115"/>
        <v>0.19900000000001228</v>
      </c>
      <c r="J449" s="179">
        <v>153.20500000000001</v>
      </c>
      <c r="K449" s="177" t="d">
        <v>2021-06-10T14:39:00.00000029336660775</v>
      </c>
      <c r="L449" s="179">
        <v>154.46700000000001</v>
      </c>
      <c r="M449" s="181">
        <f t="shared" si="116"/>
        <v>-0.19900000000000001</v>
      </c>
      <c r="N449" s="182">
        <f t="shared" si="117"/>
        <v>-1</v>
      </c>
      <c r="O449" s="183">
        <f t="shared" si="118"/>
        <v>0</v>
      </c>
      <c r="P449" s="184">
        <f t="shared" si="119"/>
        <v>0</v>
      </c>
      <c r="Q449" s="184">
        <f t="shared" si="120"/>
        <v>-1</v>
      </c>
      <c r="R44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39367.5</v>
      </c>
      <c r="T44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49" s="186">
        <f ca="1">IF(Tabla33610673[[#This Row],[Equity]]&lt;Tabla33610673[[#This Row],[Equity Peak]],(Tabla33610673[[#This Row],[Equity Peak]]-Tabla33610673[[#This Row],[Equity]])/Tabla33610673[[#This Row],[Equity Peak]],"")</f>
        <v>2.5617226656766291E-2</v>
      </c>
      <c r="V449" s="187">
        <f t="shared" si="121"/>
        <v>-1</v>
      </c>
      <c r="W449" s="187">
        <f t="shared" si="122"/>
        <v>0</v>
      </c>
      <c r="X449" s="187">
        <f t="shared" si="123"/>
        <v>0</v>
      </c>
      <c r="Y449" s="187">
        <f t="shared" si="124"/>
        <v>0</v>
      </c>
      <c r="Z449" s="187">
        <f t="shared" si="125"/>
        <v>0</v>
      </c>
      <c r="AA449" s="183">
        <f t="shared" si="126"/>
        <v>0</v>
      </c>
      <c r="AB449" s="187">
        <f t="shared" si="127"/>
        <v>0</v>
      </c>
      <c r="AC449" s="183">
        <f t="shared" si="128"/>
        <v>0</v>
      </c>
      <c r="AD449" s="188">
        <f t="shared" si="129"/>
        <v>0.18333333333430346</v>
      </c>
      <c r="AE449" s="188">
        <f t="shared" si="130"/>
        <v>0</v>
      </c>
      <c r="AF449" s="188">
        <f t="shared" si="131"/>
        <v>0.18333333333430346</v>
      </c>
      <c r="AG449" s="188">
        <f t="shared" si="132"/>
        <v>0</v>
      </c>
    </row>
    <row r="450" spans="2:33" ht="15" customHeight="1" x14ac:dyDescent="0.15">
      <c r="B450" s="174" t="s">
        <v>5</v>
      </c>
      <c r="C450" s="175" t="s">
        <v>15</v>
      </c>
      <c r="D450" s="176" t="str">
        <f t="shared" si="114"/>
        <v>C</v>
      </c>
      <c r="E450" s="177" t="d">
        <v>2021-06-09T15:00:00.000</v>
      </c>
      <c r="F450" s="178" t="s">
        <v>82</v>
      </c>
      <c r="G450" s="179">
        <v>4234.58</v>
      </c>
      <c r="H450" s="179">
        <v>4221.92</v>
      </c>
      <c r="I450" s="180">
        <f t="shared" si="115"/>
        <v>12.659999999999854</v>
      </c>
      <c r="J450" s="179">
        <v>4316.8599999999997</v>
      </c>
      <c r="K450" s="177" t="d">
        <v>2021-06-09T22:27:00.0000000419095125</v>
      </c>
      <c r="L450" s="179">
        <v>4223.6000000000004</v>
      </c>
      <c r="M450" s="181">
        <f t="shared" si="116"/>
        <v>-10.98</v>
      </c>
      <c r="N450" s="182">
        <f t="shared" si="117"/>
        <v>-0.87</v>
      </c>
      <c r="O450" s="183">
        <f t="shared" si="118"/>
        <v>0</v>
      </c>
      <c r="P450" s="184">
        <f t="shared" si="119"/>
        <v>0</v>
      </c>
      <c r="Q450" s="184">
        <f t="shared" si="120"/>
        <v>-0.87</v>
      </c>
      <c r="R45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39617.5</v>
      </c>
      <c r="T45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50" s="186">
        <f ca="1">IF(Tabla33610673[[#This Row],[Equity]]&lt;Tabla33610673[[#This Row],[Equity Peak]],(Tabla33610673[[#This Row],[Equity Peak]]-Tabla33610673[[#This Row],[Equity]])/Tabla33610673[[#This Row],[Equity Peak]],"")</f>
        <v>1.9429490749334817E-2</v>
      </c>
      <c r="V450" s="187">
        <f t="shared" si="121"/>
        <v>0</v>
      </c>
      <c r="W450" s="187">
        <f t="shared" si="122"/>
        <v>0</v>
      </c>
      <c r="X450" s="187">
        <f t="shared" si="123"/>
        <v>0</v>
      </c>
      <c r="Y450" s="187">
        <f t="shared" si="124"/>
        <v>0</v>
      </c>
      <c r="Z450" s="187">
        <f t="shared" si="125"/>
        <v>-0.87</v>
      </c>
      <c r="AA450" s="183">
        <f t="shared" si="126"/>
        <v>0</v>
      </c>
      <c r="AB450" s="187">
        <f t="shared" si="127"/>
        <v>0</v>
      </c>
      <c r="AC450" s="183">
        <f t="shared" si="128"/>
        <v>0</v>
      </c>
      <c r="AD450" s="188">
        <f t="shared" si="129"/>
        <v>0.31041666666715173</v>
      </c>
      <c r="AE450" s="188">
        <f t="shared" si="130"/>
        <v>0</v>
      </c>
      <c r="AF450" s="188">
        <f t="shared" si="131"/>
        <v>0.31041666666715173</v>
      </c>
      <c r="AG450" s="188">
        <f t="shared" si="132"/>
        <v>0</v>
      </c>
    </row>
    <row r="451" spans="2:33" ht="15" customHeight="1" x14ac:dyDescent="0.15">
      <c r="B451" s="174" t="s">
        <v>19</v>
      </c>
      <c r="C451" s="175" t="s">
        <v>15</v>
      </c>
      <c r="D451" s="176" t="str">
        <f t="shared" si="114"/>
        <v>C</v>
      </c>
      <c r="E451" s="177" t="d">
        <v>2021-06-09T16:44:59.99999979045242400</v>
      </c>
      <c r="F451" s="178" t="s">
        <v>77</v>
      </c>
      <c r="G451" s="179">
        <v>1898.25</v>
      </c>
      <c r="H451" s="179">
        <v>1893.45</v>
      </c>
      <c r="I451" s="180">
        <f t="shared" si="115"/>
        <v>4.7999999999999545</v>
      </c>
      <c r="J451" s="179">
        <v>1921.31</v>
      </c>
      <c r="K451" s="177" t="d">
        <v>2021-06-09T17:03:59.999999734573066125</v>
      </c>
      <c r="L451" s="179">
        <v>1893.45</v>
      </c>
      <c r="M451" s="181">
        <f t="shared" si="116"/>
        <v>-4.8</v>
      </c>
      <c r="N451" s="182">
        <f t="shared" si="117"/>
        <v>-1</v>
      </c>
      <c r="O451" s="183">
        <f t="shared" si="118"/>
        <v>0</v>
      </c>
      <c r="P451" s="184">
        <f t="shared" si="119"/>
        <v>0</v>
      </c>
      <c r="Q451" s="184">
        <f t="shared" si="120"/>
        <v>-1</v>
      </c>
      <c r="R45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39835</v>
      </c>
      <c r="T45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51" s="186">
        <f ca="1">IF(Tabla33610673[[#This Row],[Equity]]&lt;Tabla33610673[[#This Row],[Equity Peak]],(Tabla33610673[[#This Row],[Equity Peak]]-Tabla33610673[[#This Row],[Equity]])/Tabla33610673[[#This Row],[Equity Peak]],"")</f>
        <v>1.4046160509869439E-2</v>
      </c>
      <c r="V451" s="187">
        <f t="shared" si="121"/>
        <v>0</v>
      </c>
      <c r="W451" s="187">
        <f t="shared" si="122"/>
        <v>0</v>
      </c>
      <c r="X451" s="187">
        <f t="shared" si="123"/>
        <v>-1</v>
      </c>
      <c r="Y451" s="187">
        <f t="shared" si="124"/>
        <v>0</v>
      </c>
      <c r="Z451" s="187">
        <f t="shared" si="125"/>
        <v>0</v>
      </c>
      <c r="AA451" s="183">
        <f t="shared" si="126"/>
        <v>0</v>
      </c>
      <c r="AB451" s="187">
        <f t="shared" si="127"/>
        <v>0</v>
      </c>
      <c r="AC451" s="183">
        <f t="shared" si="128"/>
        <v>0</v>
      </c>
      <c r="AD451" s="188">
        <f t="shared" si="129"/>
        <v>1.3194444443797693E-2</v>
      </c>
      <c r="AE451" s="188">
        <f t="shared" si="130"/>
        <v>0</v>
      </c>
      <c r="AF451" s="188">
        <f t="shared" si="131"/>
        <v>1.3194444443797693E-2</v>
      </c>
      <c r="AG451" s="188">
        <f t="shared" si="132"/>
        <v>0</v>
      </c>
    </row>
    <row r="452" spans="2:33" ht="15" customHeight="1" x14ac:dyDescent="0.15">
      <c r="B452" s="174" t="s">
        <v>5</v>
      </c>
      <c r="C452" s="175" t="s">
        <v>15</v>
      </c>
      <c r="D452" s="176" t="str">
        <f t="shared" si="114"/>
        <v>C</v>
      </c>
      <c r="E452" s="177" t="d">
        <v>2021-06-08T15:30:00.00000020954757600</v>
      </c>
      <c r="F452" s="178" t="s">
        <v>82</v>
      </c>
      <c r="G452" s="179">
        <v>4237.76</v>
      </c>
      <c r="H452" s="179">
        <v>4224.99</v>
      </c>
      <c r="I452" s="180">
        <f t="shared" si="115"/>
        <v>12.770000000000437</v>
      </c>
      <c r="J452" s="179">
        <v>4320.76</v>
      </c>
      <c r="K452" s="177" t="d">
        <v>2021-06-08T16:54:00.00000029336660775</v>
      </c>
      <c r="L452" s="179">
        <v>4224.99</v>
      </c>
      <c r="M452" s="181">
        <f t="shared" si="116"/>
        <v>-12.77</v>
      </c>
      <c r="N452" s="182">
        <f t="shared" si="117"/>
        <v>-1</v>
      </c>
      <c r="O452" s="183">
        <f t="shared" si="118"/>
        <v>0</v>
      </c>
      <c r="P452" s="184">
        <f t="shared" si="119"/>
        <v>0</v>
      </c>
      <c r="Q452" s="184">
        <f t="shared" si="120"/>
        <v>-1</v>
      </c>
      <c r="R45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40085</v>
      </c>
      <c r="T45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52" s="186">
        <f ca="1">IF(Tabla33610673[[#This Row],[Equity]]&lt;Tabla33610673[[#This Row],[Equity Peak]],(Tabla33610673[[#This Row],[Equity Peak]]-Tabla33610673[[#This Row],[Equity]])/Tabla33610673[[#This Row],[Equity Peak]],"")</f>
        <v>7.8584246024379686E-3</v>
      </c>
      <c r="V452" s="187">
        <f t="shared" si="121"/>
        <v>0</v>
      </c>
      <c r="W452" s="187">
        <f t="shared" si="122"/>
        <v>0</v>
      </c>
      <c r="X452" s="187">
        <f t="shared" si="123"/>
        <v>0</v>
      </c>
      <c r="Y452" s="187">
        <f t="shared" si="124"/>
        <v>0</v>
      </c>
      <c r="Z452" s="187">
        <f t="shared" si="125"/>
        <v>-1</v>
      </c>
      <c r="AA452" s="183">
        <f t="shared" si="126"/>
        <v>0</v>
      </c>
      <c r="AB452" s="187">
        <f t="shared" si="127"/>
        <v>0</v>
      </c>
      <c r="AC452" s="183">
        <f t="shared" si="128"/>
        <v>0</v>
      </c>
      <c r="AD452" s="188">
        <f t="shared" si="129"/>
        <v>5.8333333334303461E-2</v>
      </c>
      <c r="AE452" s="188">
        <f t="shared" si="130"/>
        <v>0</v>
      </c>
      <c r="AF452" s="188">
        <f t="shared" si="131"/>
        <v>5.8333333334303461E-2</v>
      </c>
      <c r="AG452" s="188">
        <f t="shared" si="132"/>
        <v>0</v>
      </c>
    </row>
    <row r="453" spans="2:33" ht="15" customHeight="1" x14ac:dyDescent="0.15">
      <c r="B453" s="174" t="s">
        <v>5</v>
      </c>
      <c r="C453" s="175" t="s">
        <v>15</v>
      </c>
      <c r="D453" s="176" t="str">
        <f t="shared" si="114"/>
        <v>C</v>
      </c>
      <c r="E453" s="177" t="d">
        <v>2021-06-07T22:15:00.00000020954757600</v>
      </c>
      <c r="F453" s="178" t="s">
        <v>81</v>
      </c>
      <c r="G453" s="179">
        <v>13794.96</v>
      </c>
      <c r="H453" s="179">
        <v>13749.06</v>
      </c>
      <c r="I453" s="180">
        <f t="shared" si="115"/>
        <v>45.899999999999636</v>
      </c>
      <c r="J453" s="179">
        <v>14070.35</v>
      </c>
      <c r="K453" s="177" t="d">
        <v>2021-06-08T08:54:00.00000008381903175</v>
      </c>
      <c r="L453" s="179">
        <v>13821.72</v>
      </c>
      <c r="M453" s="181">
        <f t="shared" si="116"/>
        <v>26.76</v>
      </c>
      <c r="N453" s="182">
        <f t="shared" si="117"/>
        <v>0.57999999999999996</v>
      </c>
      <c r="O453" s="183">
        <f t="shared" si="118"/>
        <v>0</v>
      </c>
      <c r="P453" s="184">
        <f t="shared" si="119"/>
        <v>0.57999999999999996</v>
      </c>
      <c r="Q453" s="184">
        <f t="shared" si="120"/>
        <v>0</v>
      </c>
      <c r="R45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40335</v>
      </c>
      <c r="T45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53" s="186">
        <f ca="1">IF(Tabla33610673[[#This Row],[Equity]]&lt;Tabla33610673[[#This Row],[Equity Peak]],(Tabla33610673[[#This Row],[Equity Peak]]-Tabla33610673[[#This Row],[Equity]])/Tabla33610673[[#This Row],[Equity Peak]],"")</f>
        <v>1.670688695006497E-3</v>
      </c>
      <c r="V453" s="187">
        <f t="shared" si="121"/>
        <v>0</v>
      </c>
      <c r="W453" s="187">
        <f t="shared" si="122"/>
        <v>0</v>
      </c>
      <c r="X453" s="187">
        <f t="shared" si="123"/>
        <v>0</v>
      </c>
      <c r="Y453" s="187">
        <f t="shared" si="124"/>
        <v>0</v>
      </c>
      <c r="Z453" s="187">
        <f t="shared" si="125"/>
        <v>0.57999999999999996</v>
      </c>
      <c r="AA453" s="183">
        <f t="shared" si="126"/>
        <v>0</v>
      </c>
      <c r="AB453" s="187">
        <f t="shared" si="127"/>
        <v>0</v>
      </c>
      <c r="AC453" s="183">
        <f t="shared" si="128"/>
        <v>0</v>
      </c>
      <c r="AD453" s="188">
        <f t="shared" si="129"/>
        <v>0.44374999999854481</v>
      </c>
      <c r="AE453" s="188">
        <f t="shared" si="130"/>
        <v>0.44374999999854481</v>
      </c>
      <c r="AF453" s="188">
        <f t="shared" si="131"/>
        <v>0</v>
      </c>
      <c r="AG453" s="188">
        <f t="shared" si="132"/>
        <v>0</v>
      </c>
    </row>
    <row r="454" spans="2:33" ht="15" customHeight="1" x14ac:dyDescent="0.15">
      <c r="B454" s="174" t="s">
        <v>19</v>
      </c>
      <c r="C454" s="175" t="s">
        <v>15</v>
      </c>
      <c r="D454" s="176" t="str">
        <f t="shared" si="114"/>
        <v>C</v>
      </c>
      <c r="E454" s="177" t="d">
        <v>2021-06-07T17:29:59.99999979045242400</v>
      </c>
      <c r="F454" s="178" t="s">
        <v>77</v>
      </c>
      <c r="G454" s="179">
        <v>1892.42</v>
      </c>
      <c r="H454" s="179">
        <v>1887.61</v>
      </c>
      <c r="I454" s="180">
        <f t="shared" si="115"/>
        <v>4.8100000000001728</v>
      </c>
      <c r="J454" s="179">
        <v>1915.5</v>
      </c>
      <c r="K454" s="177" t="d">
        <v>2021-06-08T05:00:00.00000020954757600</v>
      </c>
      <c r="L454" s="179">
        <v>1897.8</v>
      </c>
      <c r="M454" s="181">
        <f t="shared" si="116"/>
        <v>5.38</v>
      </c>
      <c r="N454" s="182">
        <f t="shared" si="117"/>
        <v>1.1200000000000001</v>
      </c>
      <c r="O454" s="183">
        <f t="shared" si="118"/>
        <v>0</v>
      </c>
      <c r="P454" s="184">
        <f t="shared" si="119"/>
        <v>1.1200000000000001</v>
      </c>
      <c r="Q454" s="184">
        <f t="shared" si="120"/>
        <v>0</v>
      </c>
      <c r="R45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40190</v>
      </c>
      <c r="T45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54" s="186">
        <f ca="1">IF(Tabla33610673[[#This Row],[Equity]]&lt;Tabla33610673[[#This Row],[Equity Peak]],(Tabla33610673[[#This Row],[Equity Peak]]-Tabla33610673[[#This Row],[Equity]])/Tabla33610673[[#This Row],[Equity Peak]],"")</f>
        <v>5.25957552131675E-3</v>
      </c>
      <c r="V454" s="187">
        <f t="shared" si="121"/>
        <v>0</v>
      </c>
      <c r="W454" s="187">
        <f t="shared" si="122"/>
        <v>0</v>
      </c>
      <c r="X454" s="187">
        <f t="shared" si="123"/>
        <v>1.1200000000000001</v>
      </c>
      <c r="Y454" s="187">
        <f t="shared" si="124"/>
        <v>0</v>
      </c>
      <c r="Z454" s="187">
        <f t="shared" si="125"/>
        <v>0</v>
      </c>
      <c r="AA454" s="183">
        <f t="shared" si="126"/>
        <v>0</v>
      </c>
      <c r="AB454" s="187">
        <f t="shared" si="127"/>
        <v>0</v>
      </c>
      <c r="AC454" s="183">
        <f t="shared" si="128"/>
        <v>0</v>
      </c>
      <c r="AD454" s="188">
        <f t="shared" si="129"/>
        <v>0.47916666667151731</v>
      </c>
      <c r="AE454" s="188">
        <f t="shared" si="130"/>
        <v>0.47916666667151731</v>
      </c>
      <c r="AF454" s="188">
        <f t="shared" si="131"/>
        <v>0</v>
      </c>
      <c r="AG454" s="188">
        <f t="shared" si="132"/>
        <v>0</v>
      </c>
    </row>
    <row r="455" spans="2:33" ht="15" customHeight="1" x14ac:dyDescent="0.15">
      <c r="B455" s="174" t="s">
        <v>5</v>
      </c>
      <c r="C455" s="175" t="s">
        <v>15</v>
      </c>
      <c r="D455" s="176" t="str">
        <f t="shared" si="114"/>
        <v>C</v>
      </c>
      <c r="E455" s="177" t="d">
        <v>2021-06-07T13:30:00.000</v>
      </c>
      <c r="F455" s="178" t="s">
        <v>80</v>
      </c>
      <c r="G455" s="179">
        <v>15712.44</v>
      </c>
      <c r="H455" s="179">
        <v>15666.87</v>
      </c>
      <c r="I455" s="180">
        <f t="shared" si="115"/>
        <v>45.569999999999709</v>
      </c>
      <c r="J455" s="179">
        <v>16046.61</v>
      </c>
      <c r="K455" s="177" t="d">
        <v>2021-06-07T18:39:00.00000008381903175</v>
      </c>
      <c r="L455" s="179">
        <v>15666.87</v>
      </c>
      <c r="M455" s="181">
        <f t="shared" si="116"/>
        <v>-45.57</v>
      </c>
      <c r="N455" s="182">
        <f t="shared" si="117"/>
        <v>-1</v>
      </c>
      <c r="O455" s="183">
        <f t="shared" si="118"/>
        <v>0</v>
      </c>
      <c r="P455" s="184">
        <f t="shared" si="119"/>
        <v>0</v>
      </c>
      <c r="Q455" s="184">
        <f t="shared" si="120"/>
        <v>-1</v>
      </c>
      <c r="R45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39910</v>
      </c>
      <c r="T45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55" s="186">
        <f ca="1">IF(Tabla33610673[[#This Row],[Equity]]&lt;Tabla33610673[[#This Row],[Equity Peak]],(Tabla33610673[[#This Row],[Equity Peak]]-Tabla33610673[[#This Row],[Equity]])/Tabla33610673[[#This Row],[Equity Peak]],"")</f>
        <v>1.2189839737639997E-2</v>
      </c>
      <c r="V455" s="187">
        <f t="shared" si="121"/>
        <v>0</v>
      </c>
      <c r="W455" s="187">
        <f t="shared" si="122"/>
        <v>0</v>
      </c>
      <c r="X455" s="187">
        <f t="shared" si="123"/>
        <v>0</v>
      </c>
      <c r="Y455" s="187">
        <f t="shared" si="124"/>
        <v>0</v>
      </c>
      <c r="Z455" s="187">
        <f t="shared" si="125"/>
        <v>-1</v>
      </c>
      <c r="AA455" s="183">
        <f t="shared" si="126"/>
        <v>0</v>
      </c>
      <c r="AB455" s="187">
        <f t="shared" si="127"/>
        <v>0</v>
      </c>
      <c r="AC455" s="183">
        <f t="shared" si="128"/>
        <v>0</v>
      </c>
      <c r="AD455" s="188">
        <f t="shared" si="129"/>
        <v>0.21458333333430346</v>
      </c>
      <c r="AE455" s="188">
        <f t="shared" si="130"/>
        <v>0</v>
      </c>
      <c r="AF455" s="188">
        <f t="shared" si="131"/>
        <v>0.21458333333430346</v>
      </c>
      <c r="AG455" s="188">
        <f t="shared" si="132"/>
        <v>0</v>
      </c>
    </row>
    <row r="456" spans="2:33" ht="15" customHeight="1" x14ac:dyDescent="0.15">
      <c r="B456" s="174" t="s">
        <v>7</v>
      </c>
      <c r="C456" s="175" t="s">
        <v>13</v>
      </c>
      <c r="D456" s="176" t="str">
        <f t="shared" si="114"/>
        <v>C</v>
      </c>
      <c r="E456" s="177" t="d">
        <v>2021-06-07T07:44:59.99999979045242400</v>
      </c>
      <c r="F456" s="178" t="s">
        <v>102</v>
      </c>
      <c r="G456" s="179">
        <v>154.809</v>
      </c>
      <c r="H456" s="179">
        <v>155.04300000000001</v>
      </c>
      <c r="I456" s="180">
        <f t="shared" si="115"/>
        <v>0.23400000000000887</v>
      </c>
      <c r="J456" s="179">
        <v>153.55799999999999</v>
      </c>
      <c r="K456" s="177" t="d">
        <v>2021-06-07T14:06:00.00000012572854425</v>
      </c>
      <c r="L456" s="179">
        <v>154.88800000000001</v>
      </c>
      <c r="M456" s="181">
        <f t="shared" si="116"/>
        <v>-7.9000000000000001E-2</v>
      </c>
      <c r="N456" s="182">
        <f t="shared" si="117"/>
        <v>-0.34</v>
      </c>
      <c r="O456" s="183">
        <f t="shared" si="118"/>
        <v>0</v>
      </c>
      <c r="P456" s="184">
        <f t="shared" si="119"/>
        <v>0</v>
      </c>
      <c r="Q456" s="184">
        <f t="shared" si="120"/>
        <v>-0.34</v>
      </c>
      <c r="R45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40160</v>
      </c>
      <c r="T45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56" s="186">
        <f ca="1">IF(Tabla33610673[[#This Row],[Equity]]&lt;Tabla33610673[[#This Row],[Equity Peak]],(Tabla33610673[[#This Row],[Equity Peak]]-Tabla33610673[[#This Row],[Equity]])/Tabla33610673[[#This Row],[Equity Peak]],"")</f>
        <v>6.0021038302085269E-3</v>
      </c>
      <c r="V456" s="187">
        <f t="shared" si="121"/>
        <v>-0.34</v>
      </c>
      <c r="W456" s="187">
        <f t="shared" si="122"/>
        <v>0</v>
      </c>
      <c r="X456" s="187">
        <f t="shared" si="123"/>
        <v>0</v>
      </c>
      <c r="Y456" s="187">
        <f t="shared" si="124"/>
        <v>0</v>
      </c>
      <c r="Z456" s="187">
        <f t="shared" si="125"/>
        <v>0</v>
      </c>
      <c r="AA456" s="183">
        <f t="shared" si="126"/>
        <v>0</v>
      </c>
      <c r="AB456" s="187">
        <f t="shared" si="127"/>
        <v>0</v>
      </c>
      <c r="AC456" s="183">
        <f t="shared" si="128"/>
        <v>0</v>
      </c>
      <c r="AD456" s="188">
        <f t="shared" si="129"/>
        <v>0.26458333333721384</v>
      </c>
      <c r="AE456" s="188">
        <f t="shared" si="130"/>
        <v>0</v>
      </c>
      <c r="AF456" s="188">
        <f t="shared" si="131"/>
        <v>0.26458333333721384</v>
      </c>
      <c r="AG456" s="188">
        <f t="shared" si="132"/>
        <v>0</v>
      </c>
    </row>
    <row r="457" spans="2:33" ht="15" customHeight="1" x14ac:dyDescent="0.15">
      <c r="B457" s="174" t="s">
        <v>5</v>
      </c>
      <c r="C457" s="175" t="s">
        <v>15</v>
      </c>
      <c r="D457" s="176" t="str">
        <f t="shared" si="114"/>
        <v>C</v>
      </c>
      <c r="E457" s="177" t="d">
        <v>2021-06-04T17:15:00.000</v>
      </c>
      <c r="F457" s="178" t="s">
        <v>81</v>
      </c>
      <c r="G457" s="179">
        <v>13737.67</v>
      </c>
      <c r="H457" s="179">
        <v>13683.62</v>
      </c>
      <c r="I457" s="180">
        <f t="shared" si="115"/>
        <v>54.049999999999272</v>
      </c>
      <c r="J457" s="179">
        <v>14061.97</v>
      </c>
      <c r="K457" s="177" t="d">
        <v>2021-06-07T12:08:59.99999987427145575</v>
      </c>
      <c r="L457" s="179">
        <v>13703.38</v>
      </c>
      <c r="M457" s="181">
        <f t="shared" si="116"/>
        <v>-34.29</v>
      </c>
      <c r="N457" s="182">
        <f t="shared" si="117"/>
        <v>-0.63</v>
      </c>
      <c r="O457" s="183">
        <f t="shared" si="118"/>
        <v>0</v>
      </c>
      <c r="P457" s="184">
        <f t="shared" si="119"/>
        <v>0</v>
      </c>
      <c r="Q457" s="184">
        <f t="shared" si="120"/>
        <v>-0.63</v>
      </c>
      <c r="R45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40245</v>
      </c>
      <c r="T45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57" s="186">
        <f ca="1">IF(Tabla33610673[[#This Row],[Equity]]&lt;Tabla33610673[[#This Row],[Equity Peak]],(Tabla33610673[[#This Row],[Equity Peak]]-Tabla33610673[[#This Row],[Equity]])/Tabla33610673[[#This Row],[Equity Peak]],"")</f>
        <v>3.8982736216818265E-3</v>
      </c>
      <c r="V457" s="187">
        <f t="shared" si="121"/>
        <v>0</v>
      </c>
      <c r="W457" s="187">
        <f t="shared" si="122"/>
        <v>0</v>
      </c>
      <c r="X457" s="187">
        <f t="shared" si="123"/>
        <v>0</v>
      </c>
      <c r="Y457" s="187">
        <f t="shared" si="124"/>
        <v>0</v>
      </c>
      <c r="Z457" s="187">
        <f t="shared" si="125"/>
        <v>-0.63</v>
      </c>
      <c r="AA457" s="183">
        <f t="shared" si="126"/>
        <v>0</v>
      </c>
      <c r="AB457" s="187">
        <f t="shared" si="127"/>
        <v>0</v>
      </c>
      <c r="AC457" s="183">
        <f t="shared" si="128"/>
        <v>0</v>
      </c>
      <c r="AD457" s="188">
        <f t="shared" si="129"/>
        <v>2.7874999999985448</v>
      </c>
      <c r="AE457" s="188">
        <f t="shared" si="130"/>
        <v>0</v>
      </c>
      <c r="AF457" s="188">
        <f t="shared" si="131"/>
        <v>2.7874999999985448</v>
      </c>
      <c r="AG457" s="188">
        <f t="shared" si="132"/>
        <v>0</v>
      </c>
    </row>
    <row r="458" spans="2:33" ht="15" customHeight="1" x14ac:dyDescent="0.15">
      <c r="B458" s="174" t="s">
        <v>5</v>
      </c>
      <c r="C458" s="175" t="s">
        <v>15</v>
      </c>
      <c r="D458" s="176" t="str">
        <f t="shared" si="114"/>
        <v>C</v>
      </c>
      <c r="E458" s="177" t="d">
        <v>2021-06-04T15:45:00.000</v>
      </c>
      <c r="F458" s="178" t="s">
        <v>82</v>
      </c>
      <c r="G458" s="179">
        <v>4208.87</v>
      </c>
      <c r="H458" s="179">
        <v>4196.46</v>
      </c>
      <c r="I458" s="180">
        <f t="shared" si="115"/>
        <v>12.409999999999854</v>
      </c>
      <c r="J458" s="179">
        <v>4289.5600000000004</v>
      </c>
      <c r="K458" s="177" t="d">
        <v>2021-06-07T10:06:59.99999990221113300</v>
      </c>
      <c r="L458" s="179">
        <v>4219.04</v>
      </c>
      <c r="M458" s="181">
        <f t="shared" si="116"/>
        <v>10.17</v>
      </c>
      <c r="N458" s="182">
        <f t="shared" si="117"/>
        <v>0.82</v>
      </c>
      <c r="O458" s="183">
        <f t="shared" si="118"/>
        <v>0</v>
      </c>
      <c r="P458" s="184">
        <f t="shared" si="119"/>
        <v>0.82</v>
      </c>
      <c r="Q458" s="184">
        <f t="shared" si="120"/>
        <v>0</v>
      </c>
      <c r="R45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40402.5</v>
      </c>
      <c r="T45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40402.5</v>
      </c>
      <c r="U458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58" s="187">
        <f t="shared" si="121"/>
        <v>0</v>
      </c>
      <c r="W458" s="187">
        <f t="shared" si="122"/>
        <v>0</v>
      </c>
      <c r="X458" s="187">
        <f t="shared" si="123"/>
        <v>0</v>
      </c>
      <c r="Y458" s="187">
        <f t="shared" si="124"/>
        <v>0</v>
      </c>
      <c r="Z458" s="187">
        <f t="shared" si="125"/>
        <v>0.82</v>
      </c>
      <c r="AA458" s="183">
        <f t="shared" si="126"/>
        <v>0</v>
      </c>
      <c r="AB458" s="187">
        <f t="shared" si="127"/>
        <v>0</v>
      </c>
      <c r="AC458" s="183">
        <f t="shared" si="128"/>
        <v>0</v>
      </c>
      <c r="AD458" s="188">
        <f t="shared" si="129"/>
        <v>2.765277777776646</v>
      </c>
      <c r="AE458" s="188">
        <f t="shared" si="130"/>
        <v>2.765277777776646</v>
      </c>
      <c r="AF458" s="188">
        <f t="shared" si="131"/>
        <v>0</v>
      </c>
      <c r="AG458" s="188">
        <f t="shared" si="132"/>
        <v>0</v>
      </c>
    </row>
    <row r="459" spans="2:33" ht="15" customHeight="1" x14ac:dyDescent="0.15">
      <c r="B459" s="174" t="s">
        <v>19</v>
      </c>
      <c r="C459" s="175" t="s">
        <v>15</v>
      </c>
      <c r="D459" s="176" t="str">
        <f t="shared" si="114"/>
        <v>C</v>
      </c>
      <c r="E459" s="177" t="d">
        <v>2021-06-04T15:45:00.000</v>
      </c>
      <c r="F459" s="178" t="s">
        <v>77</v>
      </c>
      <c r="G459" s="179">
        <v>1883.07</v>
      </c>
      <c r="H459" s="179">
        <v>1878.16</v>
      </c>
      <c r="I459" s="180">
        <f t="shared" si="115"/>
        <v>4.9099999999998545</v>
      </c>
      <c r="J459" s="179">
        <v>1906.63</v>
      </c>
      <c r="K459" s="177" t="d">
        <v>2021-06-04T19:54:00.00000029336660775</v>
      </c>
      <c r="L459" s="179">
        <v>1889.25</v>
      </c>
      <c r="M459" s="181">
        <f t="shared" si="116"/>
        <v>6.18</v>
      </c>
      <c r="N459" s="182">
        <f t="shared" si="117"/>
        <v>1.26</v>
      </c>
      <c r="O459" s="183">
        <f t="shared" si="118"/>
        <v>0</v>
      </c>
      <c r="P459" s="184">
        <f t="shared" si="119"/>
        <v>1.26</v>
      </c>
      <c r="Q459" s="184">
        <f t="shared" si="120"/>
        <v>0</v>
      </c>
      <c r="R45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40197.5</v>
      </c>
      <c r="T45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40352.5</v>
      </c>
      <c r="U459" s="186">
        <f ca="1">IF(Tabla33610673[[#This Row],[Equity]]&lt;Tabla33610673[[#This Row],[Equity Peak]],(Tabla33610673[[#This Row],[Equity Peak]]-Tabla33610673[[#This Row],[Equity]])/Tabla33610673[[#This Row],[Equity Peak]],"")</f>
        <v>3.8411498667988353E-3</v>
      </c>
      <c r="V459" s="187">
        <f t="shared" si="121"/>
        <v>0</v>
      </c>
      <c r="W459" s="187">
        <f t="shared" si="122"/>
        <v>0</v>
      </c>
      <c r="X459" s="187">
        <f t="shared" si="123"/>
        <v>1.26</v>
      </c>
      <c r="Y459" s="187">
        <f t="shared" si="124"/>
        <v>0</v>
      </c>
      <c r="Z459" s="187">
        <f t="shared" si="125"/>
        <v>0</v>
      </c>
      <c r="AA459" s="183">
        <f t="shared" si="126"/>
        <v>0</v>
      </c>
      <c r="AB459" s="187">
        <f t="shared" si="127"/>
        <v>0</v>
      </c>
      <c r="AC459" s="183">
        <f t="shared" si="128"/>
        <v>0</v>
      </c>
      <c r="AD459" s="188">
        <f t="shared" si="129"/>
        <v>0.17291666667006211</v>
      </c>
      <c r="AE459" s="188">
        <f t="shared" si="130"/>
        <v>0.17291666667006211</v>
      </c>
      <c r="AF459" s="188">
        <f t="shared" si="131"/>
        <v>0</v>
      </c>
      <c r="AG459" s="188">
        <f t="shared" si="132"/>
        <v>0</v>
      </c>
    </row>
    <row r="460" spans="2:33" ht="15" customHeight="1" x14ac:dyDescent="0.15">
      <c r="B460" s="174" t="s">
        <v>7</v>
      </c>
      <c r="C460" s="175" t="s">
        <v>15</v>
      </c>
      <c r="D460" s="176" t="str">
        <f t="shared" si="114"/>
        <v>C</v>
      </c>
      <c r="E460" s="177" t="d">
        <v>2021-06-03T18:30:00.00000020954757600</v>
      </c>
      <c r="F460" s="178" t="s">
        <v>103</v>
      </c>
      <c r="G460" s="179">
        <v>110.233</v>
      </c>
      <c r="H460" s="179">
        <v>110.077</v>
      </c>
      <c r="I460" s="180">
        <f t="shared" si="115"/>
        <v>0.15600000000000591</v>
      </c>
      <c r="J460" s="179">
        <v>111.212</v>
      </c>
      <c r="K460" s="177" t="d">
        <v>2021-06-04T12:52:00.00000011175870900</v>
      </c>
      <c r="L460" s="179">
        <v>110.123</v>
      </c>
      <c r="M460" s="181">
        <f t="shared" si="116"/>
        <v>-0.11</v>
      </c>
      <c r="N460" s="182">
        <f t="shared" si="117"/>
        <v>-0.71</v>
      </c>
      <c r="O460" s="183">
        <f t="shared" si="118"/>
        <v>0</v>
      </c>
      <c r="P460" s="184">
        <f t="shared" si="119"/>
        <v>0</v>
      </c>
      <c r="Q460" s="184">
        <f t="shared" si="120"/>
        <v>-0.71</v>
      </c>
      <c r="R46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39882.5</v>
      </c>
      <c r="T46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40352.5</v>
      </c>
      <c r="U460" s="186">
        <f ca="1">IF(Tabla33610673[[#This Row],[Equity]]&lt;Tabla33610673[[#This Row],[Equity Peak]],(Tabla33610673[[#This Row],[Equity Peak]]-Tabla33610673[[#This Row],[Equity]])/Tabla33610673[[#This Row],[Equity Peak]],"")</f>
        <v>1.1647357660615823E-2</v>
      </c>
      <c r="V460" s="187">
        <f t="shared" si="121"/>
        <v>-0.71</v>
      </c>
      <c r="W460" s="187">
        <f t="shared" si="122"/>
        <v>0</v>
      </c>
      <c r="X460" s="187">
        <f t="shared" si="123"/>
        <v>0</v>
      </c>
      <c r="Y460" s="187">
        <f t="shared" si="124"/>
        <v>0</v>
      </c>
      <c r="Z460" s="187">
        <f t="shared" si="125"/>
        <v>0</v>
      </c>
      <c r="AA460" s="183">
        <f t="shared" si="126"/>
        <v>0</v>
      </c>
      <c r="AB460" s="187">
        <f t="shared" si="127"/>
        <v>0</v>
      </c>
      <c r="AC460" s="183">
        <f t="shared" si="128"/>
        <v>0</v>
      </c>
      <c r="AD460" s="188">
        <f t="shared" si="129"/>
        <v>0.76527777777664596</v>
      </c>
      <c r="AE460" s="188">
        <f t="shared" si="130"/>
        <v>0</v>
      </c>
      <c r="AF460" s="188">
        <f t="shared" si="131"/>
        <v>0.76527777777664596</v>
      </c>
      <c r="AG460" s="188">
        <f t="shared" si="132"/>
        <v>0</v>
      </c>
    </row>
    <row r="461" spans="2:33" ht="15" customHeight="1" x14ac:dyDescent="0.15">
      <c r="B461" s="174" t="s">
        <v>5</v>
      </c>
      <c r="C461" s="175" t="s">
        <v>13</v>
      </c>
      <c r="D461" s="176" t="str">
        <f t="shared" si="114"/>
        <v>C</v>
      </c>
      <c r="E461" s="177" t="d">
        <v>2021-06-03T14:00:00.00000020954757600</v>
      </c>
      <c r="F461" s="178" t="s">
        <v>81</v>
      </c>
      <c r="G461" s="179">
        <v>13580.34</v>
      </c>
      <c r="H461" s="179">
        <v>13622.59</v>
      </c>
      <c r="I461" s="180">
        <f t="shared" si="115"/>
        <v>42.25</v>
      </c>
      <c r="J461" s="179">
        <v>13326.83</v>
      </c>
      <c r="K461" s="177" t="d">
        <v>2021-06-03T17:09:00.00000008381903175</v>
      </c>
      <c r="L461" s="179">
        <v>13538.46</v>
      </c>
      <c r="M461" s="181">
        <f t="shared" si="116"/>
        <v>41.88</v>
      </c>
      <c r="N461" s="182">
        <f t="shared" si="117"/>
        <v>0.99</v>
      </c>
      <c r="O461" s="183">
        <f t="shared" si="118"/>
        <v>0</v>
      </c>
      <c r="P461" s="184">
        <f t="shared" si="119"/>
        <v>0.99</v>
      </c>
      <c r="Q461" s="184">
        <f t="shared" si="120"/>
        <v>0</v>
      </c>
      <c r="R46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40060</v>
      </c>
      <c r="T46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40352.5</v>
      </c>
      <c r="U461" s="186">
        <f ca="1">IF(Tabla33610673[[#This Row],[Equity]]&lt;Tabla33610673[[#This Row],[Equity Peak]],(Tabla33610673[[#This Row],[Equity Peak]]-Tabla33610673[[#This Row],[Equity]])/Tabla33610673[[#This Row],[Equity Peak]],"")</f>
        <v>7.2486215228300599E-3</v>
      </c>
      <c r="V461" s="187">
        <f t="shared" si="121"/>
        <v>0</v>
      </c>
      <c r="W461" s="187">
        <f t="shared" si="122"/>
        <v>0</v>
      </c>
      <c r="X461" s="187">
        <f t="shared" si="123"/>
        <v>0</v>
      </c>
      <c r="Y461" s="187">
        <f t="shared" si="124"/>
        <v>0</v>
      </c>
      <c r="Z461" s="187">
        <f t="shared" si="125"/>
        <v>0.99</v>
      </c>
      <c r="AA461" s="183">
        <f t="shared" si="126"/>
        <v>0</v>
      </c>
      <c r="AB461" s="187">
        <f t="shared" si="127"/>
        <v>0</v>
      </c>
      <c r="AC461" s="183">
        <f t="shared" si="128"/>
        <v>0</v>
      </c>
      <c r="AD461" s="188">
        <f t="shared" si="129"/>
        <v>0.13124999999854481</v>
      </c>
      <c r="AE461" s="188">
        <f t="shared" si="130"/>
        <v>0.13124999999854481</v>
      </c>
      <c r="AF461" s="188">
        <f t="shared" si="131"/>
        <v>0</v>
      </c>
      <c r="AG461" s="188">
        <f t="shared" si="132"/>
        <v>0</v>
      </c>
    </row>
    <row r="462" spans="2:33" ht="15" customHeight="1" x14ac:dyDescent="0.15">
      <c r="B462" s="174" t="s">
        <v>5</v>
      </c>
      <c r="C462" s="175" t="s">
        <v>13</v>
      </c>
      <c r="D462" s="176" t="str">
        <f t="shared" si="114"/>
        <v>C</v>
      </c>
      <c r="E462" s="177" t="d">
        <v>2021-06-03T13:15:00.00000020954757600</v>
      </c>
      <c r="F462" s="178" t="s">
        <v>82</v>
      </c>
      <c r="G462" s="179">
        <v>4192.41</v>
      </c>
      <c r="H462" s="179">
        <v>4203.2</v>
      </c>
      <c r="I462" s="180">
        <f t="shared" si="115"/>
        <v>10.789999999999964</v>
      </c>
      <c r="J462" s="179">
        <v>4122.26</v>
      </c>
      <c r="K462" s="177" t="d">
        <v>2021-06-03T16:15:00.00000020954757600</v>
      </c>
      <c r="L462" s="179">
        <v>4185.84</v>
      </c>
      <c r="M462" s="181">
        <f t="shared" si="116"/>
        <v>6.57</v>
      </c>
      <c r="N462" s="182">
        <f t="shared" si="117"/>
        <v>0.61</v>
      </c>
      <c r="O462" s="183">
        <f t="shared" si="118"/>
        <v>0</v>
      </c>
      <c r="P462" s="184">
        <f t="shared" si="119"/>
        <v>0.61</v>
      </c>
      <c r="Q462" s="184">
        <f t="shared" si="120"/>
        <v>0</v>
      </c>
      <c r="R46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39812.5</v>
      </c>
      <c r="T46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40352.5</v>
      </c>
      <c r="U462" s="186">
        <f ca="1">IF(Tabla33610673[[#This Row],[Equity]]&lt;Tabla33610673[[#This Row],[Equity Peak]],(Tabla33610673[[#This Row],[Equity Peak]]-Tabla33610673[[#This Row],[Equity]])/Tabla33610673[[#This Row],[Equity Peak]],"")</f>
        <v>1.3382070503686264E-2</v>
      </c>
      <c r="V462" s="187">
        <f t="shared" si="121"/>
        <v>0</v>
      </c>
      <c r="W462" s="187">
        <f t="shared" si="122"/>
        <v>0</v>
      </c>
      <c r="X462" s="187">
        <f t="shared" si="123"/>
        <v>0</v>
      </c>
      <c r="Y462" s="187">
        <f t="shared" si="124"/>
        <v>0</v>
      </c>
      <c r="Z462" s="187">
        <f t="shared" si="125"/>
        <v>0.61</v>
      </c>
      <c r="AA462" s="183">
        <f t="shared" si="126"/>
        <v>0</v>
      </c>
      <c r="AB462" s="187">
        <f t="shared" si="127"/>
        <v>0</v>
      </c>
      <c r="AC462" s="183">
        <f t="shared" si="128"/>
        <v>0</v>
      </c>
      <c r="AD462" s="188">
        <f t="shared" si="129"/>
        <v>0.125</v>
      </c>
      <c r="AE462" s="188">
        <f t="shared" si="130"/>
        <v>0.125</v>
      </c>
      <c r="AF462" s="188">
        <f t="shared" si="131"/>
        <v>0</v>
      </c>
      <c r="AG462" s="188">
        <f t="shared" si="132"/>
        <v>0</v>
      </c>
    </row>
    <row r="463" spans="2:33" ht="15" customHeight="1" x14ac:dyDescent="0.15">
      <c r="B463" s="174" t="s">
        <v>19</v>
      </c>
      <c r="C463" s="175" t="s">
        <v>15</v>
      </c>
      <c r="D463" s="176" t="str">
        <f t="shared" si="114"/>
        <v>C</v>
      </c>
      <c r="E463" s="177" t="d">
        <v>2021-06-02T15:14:59.99999979045242400</v>
      </c>
      <c r="F463" s="178" t="s">
        <v>77</v>
      </c>
      <c r="G463" s="179">
        <v>1903.91</v>
      </c>
      <c r="H463" s="179">
        <v>1898.98</v>
      </c>
      <c r="I463" s="180">
        <f t="shared" si="115"/>
        <v>4.9300000000000637</v>
      </c>
      <c r="J463" s="179">
        <v>1927.56</v>
      </c>
      <c r="K463" s="177" t="d">
        <v>2021-06-03T09:07:00.00000011175870900</v>
      </c>
      <c r="L463" s="179">
        <v>1899.46</v>
      </c>
      <c r="M463" s="181">
        <f t="shared" si="116"/>
        <v>-4.45</v>
      </c>
      <c r="N463" s="182">
        <f t="shared" si="117"/>
        <v>-0.9</v>
      </c>
      <c r="O463" s="183">
        <f t="shared" si="118"/>
        <v>0</v>
      </c>
      <c r="P463" s="184">
        <f t="shared" si="119"/>
        <v>0</v>
      </c>
      <c r="Q463" s="184">
        <f t="shared" si="120"/>
        <v>-0.9</v>
      </c>
      <c r="R46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39660</v>
      </c>
      <c r="T46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40352.5</v>
      </c>
      <c r="U463" s="186">
        <f ca="1">IF(Tabla33610673[[#This Row],[Equity]]&lt;Tabla33610673[[#This Row],[Equity Peak]],(Tabla33610673[[#This Row],[Equity Peak]]-Tabla33610673[[#This Row],[Equity]])/Tabla33610673[[#This Row],[Equity Peak]],"")</f>
        <v>1.7161266340375441E-2</v>
      </c>
      <c r="V463" s="187">
        <f t="shared" si="121"/>
        <v>0</v>
      </c>
      <c r="W463" s="187">
        <f t="shared" si="122"/>
        <v>0</v>
      </c>
      <c r="X463" s="187">
        <f t="shared" si="123"/>
        <v>-0.9</v>
      </c>
      <c r="Y463" s="187">
        <f t="shared" si="124"/>
        <v>0</v>
      </c>
      <c r="Z463" s="187">
        <f t="shared" si="125"/>
        <v>0</v>
      </c>
      <c r="AA463" s="183">
        <f t="shared" si="126"/>
        <v>0</v>
      </c>
      <c r="AB463" s="187">
        <f t="shared" si="127"/>
        <v>0</v>
      </c>
      <c r="AC463" s="183">
        <f t="shared" si="128"/>
        <v>0</v>
      </c>
      <c r="AD463" s="188">
        <f t="shared" si="129"/>
        <v>0.74444444444816327</v>
      </c>
      <c r="AE463" s="188">
        <f t="shared" si="130"/>
        <v>0</v>
      </c>
      <c r="AF463" s="188">
        <f t="shared" si="131"/>
        <v>0.74444444444816327</v>
      </c>
      <c r="AG463" s="188">
        <f t="shared" si="132"/>
        <v>0</v>
      </c>
    </row>
    <row r="464" spans="2:33" ht="15" customHeight="1" x14ac:dyDescent="0.15">
      <c r="B464" s="174" t="s">
        <v>5</v>
      </c>
      <c r="C464" s="175" t="s">
        <v>15</v>
      </c>
      <c r="D464" s="176" t="str">
        <f t="shared" si="114"/>
        <v>C</v>
      </c>
      <c r="E464" s="177" t="d">
        <v>2021-06-02T15:30:00.00000020954757600</v>
      </c>
      <c r="F464" s="178" t="s">
        <v>82</v>
      </c>
      <c r="G464" s="179">
        <v>4208.3599999999997</v>
      </c>
      <c r="H464" s="179">
        <v>4197.24</v>
      </c>
      <c r="I464" s="180">
        <f t="shared" si="115"/>
        <v>11.119999999999891</v>
      </c>
      <c r="J464" s="179">
        <v>4280.67</v>
      </c>
      <c r="K464" s="177" t="d">
        <v>2021-06-02T20:22:00.00000011175870900</v>
      </c>
      <c r="L464" s="179">
        <v>4205.1099999999997</v>
      </c>
      <c r="M464" s="181">
        <f t="shared" si="116"/>
        <v>-3.25</v>
      </c>
      <c r="N464" s="182">
        <f t="shared" si="117"/>
        <v>-0.28999999999999998</v>
      </c>
      <c r="O464" s="183">
        <f t="shared" si="118"/>
        <v>0</v>
      </c>
      <c r="P464" s="184">
        <f t="shared" si="119"/>
        <v>0</v>
      </c>
      <c r="Q464" s="184">
        <f t="shared" si="120"/>
        <v>-0.28999999999999998</v>
      </c>
      <c r="R46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39885</v>
      </c>
      <c r="T46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40352.5</v>
      </c>
      <c r="U464" s="186">
        <f ca="1">IF(Tabla33610673[[#This Row],[Equity]]&lt;Tabla33610673[[#This Row],[Equity Peak]],(Tabla33610673[[#This Row],[Equity Peak]]-Tabla33610673[[#This Row],[Equity]])/Tabla33610673[[#This Row],[Equity Peak]],"")</f>
        <v>1.1585403630506164E-2</v>
      </c>
      <c r="V464" s="187">
        <f t="shared" si="121"/>
        <v>0</v>
      </c>
      <c r="W464" s="187">
        <f t="shared" si="122"/>
        <v>0</v>
      </c>
      <c r="X464" s="187">
        <f t="shared" si="123"/>
        <v>0</v>
      </c>
      <c r="Y464" s="187">
        <f t="shared" si="124"/>
        <v>0</v>
      </c>
      <c r="Z464" s="187">
        <f t="shared" si="125"/>
        <v>-0.28999999999999998</v>
      </c>
      <c r="AA464" s="183">
        <f t="shared" si="126"/>
        <v>0</v>
      </c>
      <c r="AB464" s="187">
        <f t="shared" si="127"/>
        <v>0</v>
      </c>
      <c r="AC464" s="183">
        <f t="shared" si="128"/>
        <v>0</v>
      </c>
      <c r="AD464" s="188">
        <f t="shared" si="129"/>
        <v>0.20277777777664596</v>
      </c>
      <c r="AE464" s="188">
        <f t="shared" si="130"/>
        <v>0</v>
      </c>
      <c r="AF464" s="188">
        <f t="shared" si="131"/>
        <v>0.20277777777664596</v>
      </c>
      <c r="AG464" s="188">
        <f t="shared" si="132"/>
        <v>0</v>
      </c>
    </row>
    <row r="465" spans="2:33" ht="15" customHeight="1" x14ac:dyDescent="0.15">
      <c r="B465" s="174" t="s">
        <v>5</v>
      </c>
      <c r="C465" s="175" t="s">
        <v>13</v>
      </c>
      <c r="D465" s="176" t="str">
        <f t="shared" ref="D465:D528" si="133">IF(E465&lt;&gt;"",IF(K465&lt;&gt;"","C","O"),"")</f>
        <v>C</v>
      </c>
      <c r="E465" s="177" t="d">
        <v>2021-06-02T01:15:00.00000020954757600</v>
      </c>
      <c r="F465" s="178" t="s">
        <v>82</v>
      </c>
      <c r="G465" s="179">
        <v>4197.08</v>
      </c>
      <c r="H465" s="179">
        <v>4208.47</v>
      </c>
      <c r="I465" s="180">
        <f t="shared" ref="I465:I528" si="134">ABS(G465-H465)</f>
        <v>11.390000000000327</v>
      </c>
      <c r="J465" s="179">
        <v>4123.03</v>
      </c>
      <c r="K465" s="177" t="d">
        <v>2021-06-02T10:09:00.00000029336660775</v>
      </c>
      <c r="L465" s="179">
        <v>4206.04</v>
      </c>
      <c r="M465" s="181">
        <f t="shared" ref="M465:M528" si="135">ROUND(IF(C465="L",(L465-G465),(G465-L465)),4)</f>
        <v>-8.9600000000000009</v>
      </c>
      <c r="N465" s="182">
        <f t="shared" ref="N465:N528" si="136">IFERROR(ROUND((M465/I465),2),"")</f>
        <v>-0.79</v>
      </c>
      <c r="O465" s="183">
        <f t="shared" ref="O465:O528" si="137">IF(D465="O",IF(N465&lt;0,N465,0),0)</f>
        <v>0</v>
      </c>
      <c r="P465" s="184">
        <f t="shared" ref="P465:P528" si="138">IF(N465&gt;= 0,N465,0)</f>
        <v>0</v>
      </c>
      <c r="Q465" s="184">
        <f t="shared" ref="Q465:Q528" si="139">IF(N465&lt;0,N465,0)</f>
        <v>-0.79</v>
      </c>
      <c r="R46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39957.5</v>
      </c>
      <c r="T46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40352.5</v>
      </c>
      <c r="U465" s="186">
        <f ca="1">IF(Tabla33610673[[#This Row],[Equity]]&lt;Tabla33610673[[#This Row],[Equity Peak]],(Tabla33610673[[#This Row],[Equity Peak]]-Tabla33610673[[#This Row],[Equity]])/Tabla33610673[[#This Row],[Equity Peak]],"")</f>
        <v>9.788736757326064E-3</v>
      </c>
      <c r="V465" s="187">
        <f t="shared" ref="V465:V528" si="140">IF(B465="FX",N465,0)</f>
        <v>0</v>
      </c>
      <c r="W465" s="187">
        <f t="shared" ref="W465:W528" si="141">IF(D465="O",IF(V465&lt;0,V465,0),0)</f>
        <v>0</v>
      </c>
      <c r="X465" s="187">
        <f t="shared" ref="X465:X528" si="142">IF(B465="COM",N465,0)</f>
        <v>0</v>
      </c>
      <c r="Y465" s="187">
        <f t="shared" ref="Y465:Y528" si="143">IF(D465="O",IF(X465&lt;0,X465,0),0)</f>
        <v>0</v>
      </c>
      <c r="Z465" s="187">
        <f t="shared" ref="Z465:Z528" si="144">IF(B465="IND",N465,0)</f>
        <v>-0.79</v>
      </c>
      <c r="AA465" s="183">
        <f t="shared" ref="AA465:AA528" si="145">IF(D465="O",IF(Z465&lt;0,Z465,0),0)</f>
        <v>0</v>
      </c>
      <c r="AB465" s="187">
        <f t="shared" ref="AB465:AB528" si="146">IF(B465="CRYPTO",N465,0)</f>
        <v>0</v>
      </c>
      <c r="AC465" s="183">
        <f t="shared" ref="AC465:AC528" si="147">IF(D465="O",IF(AB465&lt;0,AB465,0),0)</f>
        <v>0</v>
      </c>
      <c r="AD465" s="188">
        <f t="shared" ref="AD465:AD528" si="148">IF(K465&lt;&gt;"",K465-E465,0)</f>
        <v>0.37083333333430346</v>
      </c>
      <c r="AE465" s="188">
        <f t="shared" ref="AE465:AE528" si="149">IF(N465&gt;0,AD465,0)</f>
        <v>0</v>
      </c>
      <c r="AF465" s="188">
        <f t="shared" ref="AF465:AF528" si="150">IF(N465&lt;0,AD465,0)</f>
        <v>0.37083333333430346</v>
      </c>
      <c r="AG465" s="188">
        <f t="shared" ref="AG465:AG528" si="151">IF(N465=0,AD465,0)</f>
        <v>0</v>
      </c>
    </row>
    <row r="466" spans="2:33" ht="15" customHeight="1" x14ac:dyDescent="0.15">
      <c r="B466" s="174" t="s">
        <v>7</v>
      </c>
      <c r="C466" s="175" t="s">
        <v>13</v>
      </c>
      <c r="D466" s="176" t="str">
        <f t="shared" si="133"/>
        <v>C</v>
      </c>
      <c r="E466" s="177" t="d">
        <v>2021-06-01T20:15:00.000</v>
      </c>
      <c r="F466" s="178" t="s">
        <v>102</v>
      </c>
      <c r="G466" s="179">
        <v>154.964</v>
      </c>
      <c r="H466" s="179">
        <v>155.22</v>
      </c>
      <c r="I466" s="180">
        <f t="shared" si="134"/>
        <v>0.25600000000000023</v>
      </c>
      <c r="J466" s="179">
        <v>153.6</v>
      </c>
      <c r="K466" s="177" t="d">
        <v>2021-06-02T03:33:00.00000016763806350</v>
      </c>
      <c r="L466" s="179">
        <v>155.166</v>
      </c>
      <c r="M466" s="181">
        <f t="shared" si="135"/>
        <v>-0.20200000000000001</v>
      </c>
      <c r="N466" s="182">
        <f t="shared" si="136"/>
        <v>-0.79</v>
      </c>
      <c r="O466" s="183">
        <f t="shared" si="137"/>
        <v>0</v>
      </c>
      <c r="P466" s="184">
        <f t="shared" si="138"/>
        <v>0</v>
      </c>
      <c r="Q466" s="184">
        <f t="shared" si="139"/>
        <v>-0.79</v>
      </c>
      <c r="R46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40155</v>
      </c>
      <c r="T46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40352.5</v>
      </c>
      <c r="U466" s="186">
        <f ca="1">IF(Tabla33610673[[#This Row],[Equity]]&lt;Tabla33610673[[#This Row],[Equity Peak]],(Tabla33610673[[#This Row],[Equity Peak]]-Tabla33610673[[#This Row],[Equity]])/Tabla33610673[[#This Row],[Equity Peak]],"")</f>
        <v>4.894368378663032E-3</v>
      </c>
      <c r="V466" s="187">
        <f t="shared" si="140"/>
        <v>-0.79</v>
      </c>
      <c r="W466" s="187">
        <f t="shared" si="141"/>
        <v>0</v>
      </c>
      <c r="X466" s="187">
        <f t="shared" si="142"/>
        <v>0</v>
      </c>
      <c r="Y466" s="187">
        <f t="shared" si="143"/>
        <v>0</v>
      </c>
      <c r="Z466" s="187">
        <f t="shared" si="144"/>
        <v>0</v>
      </c>
      <c r="AA466" s="183">
        <f t="shared" si="145"/>
        <v>0</v>
      </c>
      <c r="AB466" s="187">
        <f t="shared" si="146"/>
        <v>0</v>
      </c>
      <c r="AC466" s="183">
        <f t="shared" si="147"/>
        <v>0</v>
      </c>
      <c r="AD466" s="188">
        <f t="shared" si="148"/>
        <v>0.30416666666860692</v>
      </c>
      <c r="AE466" s="188">
        <f t="shared" si="149"/>
        <v>0</v>
      </c>
      <c r="AF466" s="188">
        <f t="shared" si="150"/>
        <v>0.30416666666860692</v>
      </c>
      <c r="AG466" s="188">
        <f t="shared" si="151"/>
        <v>0</v>
      </c>
    </row>
    <row r="467" spans="2:33" ht="15" customHeight="1" x14ac:dyDescent="0.15">
      <c r="B467" s="174" t="s">
        <v>5</v>
      </c>
      <c r="C467" s="175" t="s">
        <v>15</v>
      </c>
      <c r="D467" s="176" t="str">
        <f t="shared" si="133"/>
        <v>C</v>
      </c>
      <c r="E467" s="177" t="d">
        <v>2021-06-01T10:44:59.99999979045242400</v>
      </c>
      <c r="F467" s="178" t="s">
        <v>80</v>
      </c>
      <c r="G467" s="179">
        <v>15580.66</v>
      </c>
      <c r="H467" s="179">
        <v>15544.18</v>
      </c>
      <c r="I467" s="180">
        <f t="shared" si="134"/>
        <v>36.479999999999563</v>
      </c>
      <c r="J467" s="179">
        <v>15848.16</v>
      </c>
      <c r="K467" s="177" t="d">
        <v>2021-06-01T16:50:59.99999970663339225</v>
      </c>
      <c r="L467" s="179">
        <v>15615.87</v>
      </c>
      <c r="M467" s="181">
        <f t="shared" si="135"/>
        <v>35.21</v>
      </c>
      <c r="N467" s="182">
        <f t="shared" si="136"/>
        <v>0.97</v>
      </c>
      <c r="O467" s="183">
        <f t="shared" si="137"/>
        <v>0</v>
      </c>
      <c r="P467" s="184">
        <f t="shared" si="138"/>
        <v>0.97</v>
      </c>
      <c r="Q467" s="184">
        <f t="shared" si="139"/>
        <v>0</v>
      </c>
      <c r="R46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40352.5</v>
      </c>
      <c r="T46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40352.5</v>
      </c>
      <c r="U467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67" s="187">
        <f t="shared" si="140"/>
        <v>0</v>
      </c>
      <c r="W467" s="187">
        <f t="shared" si="141"/>
        <v>0</v>
      </c>
      <c r="X467" s="187">
        <f t="shared" si="142"/>
        <v>0</v>
      </c>
      <c r="Y467" s="187">
        <f t="shared" si="143"/>
        <v>0</v>
      </c>
      <c r="Z467" s="187">
        <f t="shared" si="144"/>
        <v>0.97</v>
      </c>
      <c r="AA467" s="183">
        <f t="shared" si="145"/>
        <v>0</v>
      </c>
      <c r="AB467" s="187">
        <f t="shared" si="146"/>
        <v>0</v>
      </c>
      <c r="AC467" s="183">
        <f t="shared" si="147"/>
        <v>0</v>
      </c>
      <c r="AD467" s="188">
        <f t="shared" si="148"/>
        <v>0.25416666666569654</v>
      </c>
      <c r="AE467" s="188">
        <f t="shared" si="149"/>
        <v>0.25416666666569654</v>
      </c>
      <c r="AF467" s="188">
        <f t="shared" si="150"/>
        <v>0</v>
      </c>
      <c r="AG467" s="188">
        <f t="shared" si="151"/>
        <v>0</v>
      </c>
    </row>
    <row r="468" spans="2:33" ht="15" customHeight="1" x14ac:dyDescent="0.15">
      <c r="B468" s="174" t="s">
        <v>5</v>
      </c>
      <c r="C468" s="175" t="s">
        <v>15</v>
      </c>
      <c r="D468" s="176" t="str">
        <f t="shared" si="133"/>
        <v>C</v>
      </c>
      <c r="E468" s="177" t="d">
        <v>2021-06-01T09:45:00.000</v>
      </c>
      <c r="F468" s="178" t="s">
        <v>82</v>
      </c>
      <c r="G468" s="179">
        <v>4210.7299999999996</v>
      </c>
      <c r="H468" s="179">
        <v>4199.38</v>
      </c>
      <c r="I468" s="180">
        <f t="shared" si="134"/>
        <v>11.349999999999454</v>
      </c>
      <c r="J468" s="179">
        <v>4284.5200000000004</v>
      </c>
      <c r="K468" s="177" t="d">
        <v>2021-06-01T16:48:59.99999994412064550</v>
      </c>
      <c r="L468" s="179">
        <v>4221.1000000000004</v>
      </c>
      <c r="M468" s="181">
        <f t="shared" si="135"/>
        <v>10.37</v>
      </c>
      <c r="N468" s="182">
        <f t="shared" si="136"/>
        <v>0.91</v>
      </c>
      <c r="O468" s="183">
        <f t="shared" si="137"/>
        <v>0</v>
      </c>
      <c r="P468" s="184">
        <f t="shared" si="138"/>
        <v>0.91</v>
      </c>
      <c r="Q468" s="184">
        <f t="shared" si="139"/>
        <v>0</v>
      </c>
      <c r="R46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40110</v>
      </c>
      <c r="T46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40110</v>
      </c>
      <c r="U468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68" s="187">
        <f t="shared" si="140"/>
        <v>0</v>
      </c>
      <c r="W468" s="187">
        <f t="shared" si="141"/>
        <v>0</v>
      </c>
      <c r="X468" s="187">
        <f t="shared" si="142"/>
        <v>0</v>
      </c>
      <c r="Y468" s="187">
        <f t="shared" si="143"/>
        <v>0</v>
      </c>
      <c r="Z468" s="187">
        <f t="shared" si="144"/>
        <v>0.91</v>
      </c>
      <c r="AA468" s="183">
        <f t="shared" si="145"/>
        <v>0</v>
      </c>
      <c r="AB468" s="187">
        <f t="shared" si="146"/>
        <v>0</v>
      </c>
      <c r="AC468" s="183">
        <f t="shared" si="147"/>
        <v>0</v>
      </c>
      <c r="AD468" s="188">
        <f t="shared" si="148"/>
        <v>0.29444444444379769</v>
      </c>
      <c r="AE468" s="188">
        <f t="shared" si="149"/>
        <v>0.29444444444379769</v>
      </c>
      <c r="AF468" s="188">
        <f t="shared" si="150"/>
        <v>0</v>
      </c>
      <c r="AG468" s="188">
        <f t="shared" si="151"/>
        <v>0</v>
      </c>
    </row>
    <row r="469" spans="2:33" ht="15" customHeight="1" x14ac:dyDescent="0.15">
      <c r="B469" s="174" t="s">
        <v>19</v>
      </c>
      <c r="C469" s="175" t="s">
        <v>15</v>
      </c>
      <c r="D469" s="176" t="str">
        <f t="shared" si="133"/>
        <v>C</v>
      </c>
      <c r="E469" s="177" t="d">
        <v>2021-05-28T20:29:59.99999979045242400</v>
      </c>
      <c r="F469" s="178" t="s">
        <v>77</v>
      </c>
      <c r="G469" s="179">
        <v>1902.74</v>
      </c>
      <c r="H469" s="179">
        <v>1897.57</v>
      </c>
      <c r="I469" s="180">
        <f t="shared" si="134"/>
        <v>5.1700000000000728</v>
      </c>
      <c r="J469" s="179">
        <v>1927.53</v>
      </c>
      <c r="K469" s="177" t="d">
        <v>2021-06-01T11:06:59.99999969266355025</v>
      </c>
      <c r="L469" s="179">
        <v>1911.27</v>
      </c>
      <c r="M469" s="181">
        <f t="shared" si="135"/>
        <v>8.5299999999999994</v>
      </c>
      <c r="N469" s="182">
        <f t="shared" si="136"/>
        <v>1.65</v>
      </c>
      <c r="O469" s="183">
        <f t="shared" si="137"/>
        <v>0</v>
      </c>
      <c r="P469" s="184">
        <f t="shared" si="138"/>
        <v>1.65</v>
      </c>
      <c r="Q469" s="184">
        <f t="shared" si="139"/>
        <v>0</v>
      </c>
      <c r="R46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39882.5</v>
      </c>
      <c r="T46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39890</v>
      </c>
      <c r="U469" s="186">
        <f ca="1">IF(Tabla33610673[[#This Row],[Equity]]&lt;Tabla33610673[[#This Row],[Equity Peak]],(Tabla33610673[[#This Row],[Equity Peak]]-Tabla33610673[[#This Row],[Equity]])/Tabla33610673[[#This Row],[Equity Peak]],"")</f>
        <v>1.8801704687891702E-4</v>
      </c>
      <c r="V469" s="187">
        <f t="shared" si="140"/>
        <v>0</v>
      </c>
      <c r="W469" s="187">
        <f t="shared" si="141"/>
        <v>0</v>
      </c>
      <c r="X469" s="187">
        <f t="shared" si="142"/>
        <v>1.65</v>
      </c>
      <c r="Y469" s="187">
        <f t="shared" si="143"/>
        <v>0</v>
      </c>
      <c r="Z469" s="187">
        <f t="shared" si="144"/>
        <v>0</v>
      </c>
      <c r="AA469" s="183">
        <f t="shared" si="145"/>
        <v>0</v>
      </c>
      <c r="AB469" s="187">
        <f t="shared" si="146"/>
        <v>0</v>
      </c>
      <c r="AC469" s="183">
        <f t="shared" si="147"/>
        <v>0</v>
      </c>
      <c r="AD469" s="188">
        <f t="shared" si="148"/>
        <v>3.609027777776646</v>
      </c>
      <c r="AE469" s="188">
        <f t="shared" si="149"/>
        <v>3.609027777776646</v>
      </c>
      <c r="AF469" s="188">
        <f t="shared" si="150"/>
        <v>0</v>
      </c>
      <c r="AG469" s="188">
        <f t="shared" si="151"/>
        <v>0</v>
      </c>
    </row>
    <row r="470" spans="2:33" ht="15" customHeight="1" x14ac:dyDescent="0.15">
      <c r="B470" s="174" t="s">
        <v>5</v>
      </c>
      <c r="C470" s="175" t="s">
        <v>15</v>
      </c>
      <c r="D470" s="176" t="str">
        <f t="shared" si="133"/>
        <v>C</v>
      </c>
      <c r="E470" s="177" t="d">
        <v>2021-05-28T16:44:59.99999979045242400</v>
      </c>
      <c r="F470" s="178" t="s">
        <v>81</v>
      </c>
      <c r="G470" s="179">
        <v>13733.4</v>
      </c>
      <c r="H470" s="179">
        <v>13692.11</v>
      </c>
      <c r="I470" s="180">
        <f t="shared" si="134"/>
        <v>41.289999999999054</v>
      </c>
      <c r="J470" s="179">
        <v>13981.16</v>
      </c>
      <c r="K470" s="177" t="d">
        <v>2021-05-28T22:54:00.00000029336660775</v>
      </c>
      <c r="L470" s="179">
        <v>13702.01</v>
      </c>
      <c r="M470" s="181">
        <f t="shared" si="135"/>
        <v>-31.39</v>
      </c>
      <c r="N470" s="182">
        <f t="shared" si="136"/>
        <v>-0.76</v>
      </c>
      <c r="O470" s="183">
        <f t="shared" si="137"/>
        <v>0</v>
      </c>
      <c r="P470" s="184">
        <f t="shared" si="138"/>
        <v>0</v>
      </c>
      <c r="Q470" s="184">
        <f t="shared" si="139"/>
        <v>-0.76</v>
      </c>
      <c r="R47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39470</v>
      </c>
      <c r="T47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39890</v>
      </c>
      <c r="U470" s="186">
        <f ca="1">IF(Tabla33610673[[#This Row],[Equity]]&lt;Tabla33610673[[#This Row],[Equity Peak]],(Tabla33610673[[#This Row],[Equity Peak]]-Tabla33610673[[#This Row],[Equity]])/Tabla33610673[[#This Row],[Equity Peak]],"")</f>
        <v>1.0528954625219354E-2</v>
      </c>
      <c r="V470" s="187">
        <f t="shared" si="140"/>
        <v>0</v>
      </c>
      <c r="W470" s="187">
        <f t="shared" si="141"/>
        <v>0</v>
      </c>
      <c r="X470" s="187">
        <f t="shared" si="142"/>
        <v>0</v>
      </c>
      <c r="Y470" s="187">
        <f t="shared" si="143"/>
        <v>0</v>
      </c>
      <c r="Z470" s="187">
        <f t="shared" si="144"/>
        <v>-0.76</v>
      </c>
      <c r="AA470" s="183">
        <f t="shared" si="145"/>
        <v>0</v>
      </c>
      <c r="AB470" s="187">
        <f t="shared" si="146"/>
        <v>0</v>
      </c>
      <c r="AC470" s="183">
        <f t="shared" si="147"/>
        <v>0</v>
      </c>
      <c r="AD470" s="188">
        <f t="shared" si="148"/>
        <v>0.25625000000582077</v>
      </c>
      <c r="AE470" s="188">
        <f t="shared" si="149"/>
        <v>0</v>
      </c>
      <c r="AF470" s="188">
        <f t="shared" si="150"/>
        <v>0.25625000000582077</v>
      </c>
      <c r="AG470" s="188">
        <f t="shared" si="151"/>
        <v>0</v>
      </c>
    </row>
    <row r="471" spans="2:33" ht="15" customHeight="1" x14ac:dyDescent="0.15">
      <c r="B471" s="174" t="s">
        <v>5</v>
      </c>
      <c r="C471" s="175" t="s">
        <v>15</v>
      </c>
      <c r="D471" s="176" t="str">
        <f t="shared" si="133"/>
        <v>C</v>
      </c>
      <c r="E471" s="177" t="d">
        <v>2021-05-28T00:59:59.99999979045242400</v>
      </c>
      <c r="F471" s="178" t="s">
        <v>82</v>
      </c>
      <c r="G471" s="179">
        <v>4214.54</v>
      </c>
      <c r="H471" s="179">
        <v>4200.59</v>
      </c>
      <c r="I471" s="180">
        <f t="shared" si="134"/>
        <v>13.949999999999818</v>
      </c>
      <c r="J471" s="179">
        <v>4305.2</v>
      </c>
      <c r="K471" s="177" t="d">
        <v>2021-05-28T17:23:59.99999987427145575</v>
      </c>
      <c r="L471" s="179">
        <v>4207.54</v>
      </c>
      <c r="M471" s="181">
        <f t="shared" si="135"/>
        <v>-7</v>
      </c>
      <c r="N471" s="182">
        <f t="shared" si="136"/>
        <v>-0.5</v>
      </c>
      <c r="O471" s="183">
        <f t="shared" si="137"/>
        <v>0</v>
      </c>
      <c r="P471" s="184">
        <f t="shared" si="138"/>
        <v>0</v>
      </c>
      <c r="Q471" s="184">
        <f t="shared" si="139"/>
        <v>-0.5</v>
      </c>
      <c r="R47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39660</v>
      </c>
      <c r="T47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39890</v>
      </c>
      <c r="U471" s="186">
        <f ca="1">IF(Tabla33610673[[#This Row],[Equity]]&lt;Tabla33610673[[#This Row],[Equity Peak]],(Tabla33610673[[#This Row],[Equity Peak]]-Tabla33610673[[#This Row],[Equity]])/Tabla33610673[[#This Row],[Equity Peak]],"")</f>
        <v>5.765856104286789E-3</v>
      </c>
      <c r="V471" s="187">
        <f t="shared" si="140"/>
        <v>0</v>
      </c>
      <c r="W471" s="187">
        <f t="shared" si="141"/>
        <v>0</v>
      </c>
      <c r="X471" s="187">
        <f t="shared" si="142"/>
        <v>0</v>
      </c>
      <c r="Y471" s="187">
        <f t="shared" si="143"/>
        <v>0</v>
      </c>
      <c r="Z471" s="187">
        <f t="shared" si="144"/>
        <v>-0.5</v>
      </c>
      <c r="AA471" s="183">
        <f t="shared" si="145"/>
        <v>0</v>
      </c>
      <c r="AB471" s="187">
        <f t="shared" si="146"/>
        <v>0</v>
      </c>
      <c r="AC471" s="183">
        <f t="shared" si="147"/>
        <v>0</v>
      </c>
      <c r="AD471" s="188">
        <f t="shared" si="148"/>
        <v>0.68333333333430346</v>
      </c>
      <c r="AE471" s="188">
        <f t="shared" si="149"/>
        <v>0</v>
      </c>
      <c r="AF471" s="188">
        <f t="shared" si="150"/>
        <v>0.68333333333430346</v>
      </c>
      <c r="AG471" s="188">
        <f t="shared" si="151"/>
        <v>0</v>
      </c>
    </row>
    <row r="472" spans="2:33" ht="15" customHeight="1" x14ac:dyDescent="0.15">
      <c r="B472" s="174" t="s">
        <v>7</v>
      </c>
      <c r="C472" s="175" t="s">
        <v>15</v>
      </c>
      <c r="D472" s="176" t="str">
        <f t="shared" si="133"/>
        <v>C</v>
      </c>
      <c r="E472" s="177" t="d">
        <v>2021-05-27T18:59:59.99999979045242400</v>
      </c>
      <c r="F472" s="178" t="s">
        <v>103</v>
      </c>
      <c r="G472" s="179">
        <v>109.819</v>
      </c>
      <c r="H472" s="179">
        <v>109.65900000000001</v>
      </c>
      <c r="I472" s="180">
        <f t="shared" si="134"/>
        <v>0.15999999999999659</v>
      </c>
      <c r="J472" s="179">
        <v>110.825</v>
      </c>
      <c r="K472" s="177" t="d">
        <v>2021-05-28T16:54:00.00000029336660775</v>
      </c>
      <c r="L472" s="179">
        <v>109.991</v>
      </c>
      <c r="M472" s="181">
        <f t="shared" si="135"/>
        <v>0.17199999999999999</v>
      </c>
      <c r="N472" s="182">
        <f t="shared" si="136"/>
        <v>1.08</v>
      </c>
      <c r="O472" s="183">
        <f t="shared" si="137"/>
        <v>0</v>
      </c>
      <c r="P472" s="184">
        <f t="shared" si="138"/>
        <v>1.08</v>
      </c>
      <c r="Q472" s="184">
        <f t="shared" si="139"/>
        <v>0</v>
      </c>
      <c r="R47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39785</v>
      </c>
      <c r="T47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39890</v>
      </c>
      <c r="U472" s="186">
        <f ca="1">IF(Tabla33610673[[#This Row],[Equity]]&lt;Tabla33610673[[#This Row],[Equity Peak]],(Tabla33610673[[#This Row],[Equity Peak]]-Tabla33610673[[#This Row],[Equity]])/Tabla33610673[[#This Row],[Equity Peak]],"")</f>
        <v>2.6322386563048385E-3</v>
      </c>
      <c r="V472" s="187">
        <f t="shared" si="140"/>
        <v>1.08</v>
      </c>
      <c r="W472" s="187">
        <f t="shared" si="141"/>
        <v>0</v>
      </c>
      <c r="X472" s="187">
        <f t="shared" si="142"/>
        <v>0</v>
      </c>
      <c r="Y472" s="187">
        <f t="shared" si="143"/>
        <v>0</v>
      </c>
      <c r="Z472" s="187">
        <f t="shared" si="144"/>
        <v>0</v>
      </c>
      <c r="AA472" s="183">
        <f t="shared" si="145"/>
        <v>0</v>
      </c>
      <c r="AB472" s="187">
        <f t="shared" si="146"/>
        <v>0</v>
      </c>
      <c r="AC472" s="183">
        <f t="shared" si="147"/>
        <v>0</v>
      </c>
      <c r="AD472" s="188">
        <f t="shared" si="148"/>
        <v>0.91250000000582077</v>
      </c>
      <c r="AE472" s="188">
        <f t="shared" si="149"/>
        <v>0.91250000000582077</v>
      </c>
      <c r="AF472" s="188">
        <f t="shared" si="150"/>
        <v>0</v>
      </c>
      <c r="AG472" s="188">
        <f t="shared" si="151"/>
        <v>0</v>
      </c>
    </row>
    <row r="473" spans="2:33" ht="15" customHeight="1" x14ac:dyDescent="0.15">
      <c r="B473" s="174" t="s">
        <v>5</v>
      </c>
      <c r="C473" s="175" t="s">
        <v>15</v>
      </c>
      <c r="D473" s="176" t="str">
        <f t="shared" si="133"/>
        <v>C</v>
      </c>
      <c r="E473" s="177" t="d">
        <v>2021-05-28T14:00:00.00000020954757600</v>
      </c>
      <c r="F473" s="178" t="s">
        <v>81</v>
      </c>
      <c r="G473" s="179">
        <v>13731.8</v>
      </c>
      <c r="H473" s="179">
        <v>13690.87</v>
      </c>
      <c r="I473" s="180">
        <f t="shared" si="134"/>
        <v>40.929999999998472</v>
      </c>
      <c r="J473" s="179">
        <v>13977.4</v>
      </c>
      <c r="K473" s="177" t="d">
        <v>2021-05-28T15:53:59.99999987427145575</v>
      </c>
      <c r="L473" s="179">
        <v>13690.87</v>
      </c>
      <c r="M473" s="181">
        <f t="shared" si="135"/>
        <v>-40.93</v>
      </c>
      <c r="N473" s="182">
        <f t="shared" si="136"/>
        <v>-1</v>
      </c>
      <c r="O473" s="183">
        <f t="shared" si="137"/>
        <v>0</v>
      </c>
      <c r="P473" s="184">
        <f t="shared" si="138"/>
        <v>0</v>
      </c>
      <c r="Q473" s="184">
        <f t="shared" si="139"/>
        <v>-1</v>
      </c>
      <c r="R47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39515</v>
      </c>
      <c r="T47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39890</v>
      </c>
      <c r="U473" s="186">
        <f ca="1">IF(Tabla33610673[[#This Row],[Equity]]&lt;Tabla33610673[[#This Row],[Equity Peak]],(Tabla33610673[[#This Row],[Equity Peak]]-Tabla33610673[[#This Row],[Equity]])/Tabla33610673[[#This Row],[Equity Peak]],"")</f>
        <v>9.4008523439458504E-3</v>
      </c>
      <c r="V473" s="187">
        <f t="shared" si="140"/>
        <v>0</v>
      </c>
      <c r="W473" s="187">
        <f t="shared" si="141"/>
        <v>0</v>
      </c>
      <c r="X473" s="187">
        <f t="shared" si="142"/>
        <v>0</v>
      </c>
      <c r="Y473" s="187">
        <f t="shared" si="143"/>
        <v>0</v>
      </c>
      <c r="Z473" s="187">
        <f t="shared" si="144"/>
        <v>-1</v>
      </c>
      <c r="AA473" s="183">
        <f t="shared" si="145"/>
        <v>0</v>
      </c>
      <c r="AB473" s="187">
        <f t="shared" si="146"/>
        <v>0</v>
      </c>
      <c r="AC473" s="183">
        <f t="shared" si="147"/>
        <v>0</v>
      </c>
      <c r="AD473" s="188">
        <f t="shared" si="148"/>
        <v>7.9166666662786156E-2</v>
      </c>
      <c r="AE473" s="188">
        <f t="shared" si="149"/>
        <v>0</v>
      </c>
      <c r="AF473" s="188">
        <f t="shared" si="150"/>
        <v>7.9166666662786156E-2</v>
      </c>
      <c r="AG473" s="188">
        <f t="shared" si="151"/>
        <v>0</v>
      </c>
    </row>
    <row r="474" spans="2:33" ht="15" customHeight="1" x14ac:dyDescent="0.15">
      <c r="B474" s="174" t="s">
        <v>5</v>
      </c>
      <c r="C474" s="175" t="s">
        <v>15</v>
      </c>
      <c r="D474" s="176" t="str">
        <f t="shared" si="133"/>
        <v>C</v>
      </c>
      <c r="E474" s="177" t="d">
        <v>2021-05-27T16:15:00.00000020954757600</v>
      </c>
      <c r="F474" s="178" t="s">
        <v>82</v>
      </c>
      <c r="G474" s="179">
        <v>4206.2700000000004</v>
      </c>
      <c r="H474" s="179">
        <v>4192.7299999999996</v>
      </c>
      <c r="I474" s="180">
        <f t="shared" si="134"/>
        <v>13.540000000000873</v>
      </c>
      <c r="J474" s="179">
        <v>4294.26</v>
      </c>
      <c r="K474" s="177" t="d">
        <v>2021-05-27T21:08:59.99999987427145575</v>
      </c>
      <c r="L474" s="179">
        <v>4199.5</v>
      </c>
      <c r="M474" s="181">
        <f t="shared" si="135"/>
        <v>-6.77</v>
      </c>
      <c r="N474" s="182">
        <f t="shared" si="136"/>
        <v>-0.5</v>
      </c>
      <c r="O474" s="183">
        <f t="shared" si="137"/>
        <v>0</v>
      </c>
      <c r="P474" s="184">
        <f t="shared" si="138"/>
        <v>0</v>
      </c>
      <c r="Q474" s="184">
        <f t="shared" si="139"/>
        <v>-0.5</v>
      </c>
      <c r="R47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39765</v>
      </c>
      <c r="T47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39890</v>
      </c>
      <c r="U474" s="186">
        <f ca="1">IF(Tabla33610673[[#This Row],[Equity]]&lt;Tabla33610673[[#This Row],[Equity Peak]],(Tabla33610673[[#This Row],[Equity Peak]]-Tabla33610673[[#This Row],[Equity]])/Tabla33610673[[#This Row],[Equity Peak]],"")</f>
        <v>3.1336174479819506E-3</v>
      </c>
      <c r="V474" s="187">
        <f t="shared" si="140"/>
        <v>0</v>
      </c>
      <c r="W474" s="187">
        <f t="shared" si="141"/>
        <v>0</v>
      </c>
      <c r="X474" s="187">
        <f t="shared" si="142"/>
        <v>0</v>
      </c>
      <c r="Y474" s="187">
        <f t="shared" si="143"/>
        <v>0</v>
      </c>
      <c r="Z474" s="187">
        <f t="shared" si="144"/>
        <v>-0.5</v>
      </c>
      <c r="AA474" s="183">
        <f t="shared" si="145"/>
        <v>0</v>
      </c>
      <c r="AB474" s="187">
        <f t="shared" si="146"/>
        <v>0</v>
      </c>
      <c r="AC474" s="183">
        <f t="shared" si="147"/>
        <v>0</v>
      </c>
      <c r="AD474" s="188">
        <f t="shared" si="148"/>
        <v>0.20416666666278616</v>
      </c>
      <c r="AE474" s="188">
        <f t="shared" si="149"/>
        <v>0</v>
      </c>
      <c r="AF474" s="188">
        <f t="shared" si="150"/>
        <v>0.20416666666278616</v>
      </c>
      <c r="AG474" s="188">
        <f t="shared" si="151"/>
        <v>0</v>
      </c>
    </row>
    <row r="475" spans="2:33" ht="15" customHeight="1" x14ac:dyDescent="0.15">
      <c r="B475" s="174" t="s">
        <v>7</v>
      </c>
      <c r="C475" s="175" t="s">
        <v>15</v>
      </c>
      <c r="D475" s="176" t="str">
        <f t="shared" si="133"/>
        <v>C</v>
      </c>
      <c r="E475" s="177" t="d">
        <v>2021-05-27T14:15:00.000</v>
      </c>
      <c r="F475" s="178" t="s">
        <v>102</v>
      </c>
      <c r="G475" s="179">
        <v>154.62799999999999</v>
      </c>
      <c r="H475" s="179">
        <v>154.364</v>
      </c>
      <c r="I475" s="180">
        <f t="shared" si="134"/>
        <v>0.26399999999998158</v>
      </c>
      <c r="J475" s="179">
        <v>156.03700000000001</v>
      </c>
      <c r="K475" s="177" t="d">
        <v>2021-05-27T20:54:00.00000008381903175</v>
      </c>
      <c r="L475" s="179">
        <v>156.03700000000001</v>
      </c>
      <c r="M475" s="181">
        <f t="shared" si="135"/>
        <v>1.409</v>
      </c>
      <c r="N475" s="182">
        <f t="shared" si="136"/>
        <v>5.34</v>
      </c>
      <c r="O475" s="183">
        <f t="shared" si="137"/>
        <v>0</v>
      </c>
      <c r="P475" s="184">
        <f t="shared" si="138"/>
        <v>5.34</v>
      </c>
      <c r="Q475" s="184">
        <f t="shared" si="139"/>
        <v>0</v>
      </c>
      <c r="R47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39890</v>
      </c>
      <c r="T47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39890</v>
      </c>
      <c r="U475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75" s="187">
        <f t="shared" si="140"/>
        <v>5.34</v>
      </c>
      <c r="W475" s="187">
        <f t="shared" si="141"/>
        <v>0</v>
      </c>
      <c r="X475" s="187">
        <f t="shared" si="142"/>
        <v>0</v>
      </c>
      <c r="Y475" s="187">
        <f t="shared" si="143"/>
        <v>0</v>
      </c>
      <c r="Z475" s="187">
        <f t="shared" si="144"/>
        <v>0</v>
      </c>
      <c r="AA475" s="183">
        <f t="shared" si="145"/>
        <v>0</v>
      </c>
      <c r="AB475" s="187">
        <f t="shared" si="146"/>
        <v>0</v>
      </c>
      <c r="AC475" s="183">
        <f t="shared" si="147"/>
        <v>0</v>
      </c>
      <c r="AD475" s="188">
        <f t="shared" si="148"/>
        <v>0.27708333333430346</v>
      </c>
      <c r="AE475" s="188">
        <f t="shared" si="149"/>
        <v>0.27708333333430346</v>
      </c>
      <c r="AF475" s="188">
        <f t="shared" si="150"/>
        <v>0</v>
      </c>
      <c r="AG475" s="188">
        <f t="shared" si="151"/>
        <v>0</v>
      </c>
    </row>
    <row r="476" spans="2:33" ht="15" customHeight="1" x14ac:dyDescent="0.15">
      <c r="B476" s="174" t="s">
        <v>5</v>
      </c>
      <c r="C476" s="175" t="s">
        <v>15</v>
      </c>
      <c r="D476" s="176" t="str">
        <f t="shared" si="133"/>
        <v>C</v>
      </c>
      <c r="E476" s="177" t="d">
        <v>2021-05-26T09:59:59.99999979045242400</v>
      </c>
      <c r="F476" s="178" t="s">
        <v>82</v>
      </c>
      <c r="G476" s="179">
        <v>4205.3100000000004</v>
      </c>
      <c r="H476" s="179">
        <v>4189.0200000000004</v>
      </c>
      <c r="I476" s="180">
        <f t="shared" si="134"/>
        <v>16.289999999999964</v>
      </c>
      <c r="J476" s="179">
        <v>4311.21</v>
      </c>
      <c r="K476" s="177" t="d">
        <v>2021-05-26T16:48:59.99999994412064550</v>
      </c>
      <c r="L476" s="179">
        <v>4190.4399999999996</v>
      </c>
      <c r="M476" s="181">
        <f t="shared" si="135"/>
        <v>-14.87</v>
      </c>
      <c r="N476" s="182">
        <f t="shared" si="136"/>
        <v>-0.91</v>
      </c>
      <c r="O476" s="183">
        <f t="shared" si="137"/>
        <v>0</v>
      </c>
      <c r="P476" s="184">
        <f t="shared" si="138"/>
        <v>0</v>
      </c>
      <c r="Q476" s="184">
        <f t="shared" si="139"/>
        <v>-0.91</v>
      </c>
      <c r="R47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38555</v>
      </c>
      <c r="T47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38782.5</v>
      </c>
      <c r="U476" s="186">
        <f ca="1">IF(Tabla33610673[[#This Row],[Equity]]&lt;Tabla33610673[[#This Row],[Equity Peak]],(Tabla33610673[[#This Row],[Equity Peak]]-Tabla33610673[[#This Row],[Equity]])/Tabla33610673[[#This Row],[Equity Peak]],"")</f>
        <v>5.8660478308515439E-3</v>
      </c>
      <c r="V476" s="187">
        <f t="shared" si="140"/>
        <v>0</v>
      </c>
      <c r="W476" s="187">
        <f t="shared" si="141"/>
        <v>0</v>
      </c>
      <c r="X476" s="187">
        <f t="shared" si="142"/>
        <v>0</v>
      </c>
      <c r="Y476" s="187">
        <f t="shared" si="143"/>
        <v>0</v>
      </c>
      <c r="Z476" s="187">
        <f t="shared" si="144"/>
        <v>-0.91</v>
      </c>
      <c r="AA476" s="183">
        <f t="shared" si="145"/>
        <v>0</v>
      </c>
      <c r="AB476" s="187">
        <f t="shared" si="146"/>
        <v>0</v>
      </c>
      <c r="AC476" s="183">
        <f t="shared" si="147"/>
        <v>0</v>
      </c>
      <c r="AD476" s="188">
        <f t="shared" si="148"/>
        <v>0.28402777777955635</v>
      </c>
      <c r="AE476" s="188">
        <f t="shared" si="149"/>
        <v>0</v>
      </c>
      <c r="AF476" s="188">
        <f t="shared" si="150"/>
        <v>0.28402777777955635</v>
      </c>
      <c r="AG476" s="188">
        <f t="shared" si="151"/>
        <v>0</v>
      </c>
    </row>
    <row r="477" spans="2:33" ht="15" customHeight="1" x14ac:dyDescent="0.15">
      <c r="B477" s="174" t="s">
        <v>19</v>
      </c>
      <c r="C477" s="175" t="s">
        <v>15</v>
      </c>
      <c r="D477" s="176" t="str">
        <f t="shared" si="133"/>
        <v>C</v>
      </c>
      <c r="E477" s="177" t="d">
        <v>2021-05-25T20:15:00.000</v>
      </c>
      <c r="F477" s="178" t="s">
        <v>77</v>
      </c>
      <c r="G477" s="179">
        <v>1897.04</v>
      </c>
      <c r="H477" s="179">
        <v>1891.4</v>
      </c>
      <c r="I477" s="180">
        <f t="shared" si="134"/>
        <v>5.6399999999998727</v>
      </c>
      <c r="J477" s="179">
        <v>1924.11</v>
      </c>
      <c r="K477" s="177" t="d">
        <v>2021-05-26T12:14:59.99999979045242400</v>
      </c>
      <c r="L477" s="179">
        <v>1904.03</v>
      </c>
      <c r="M477" s="181">
        <f t="shared" si="135"/>
        <v>6.99</v>
      </c>
      <c r="N477" s="182">
        <f t="shared" si="136"/>
        <v>1.24</v>
      </c>
      <c r="O477" s="183">
        <f t="shared" si="137"/>
        <v>0</v>
      </c>
      <c r="P477" s="184">
        <f t="shared" si="138"/>
        <v>1.24</v>
      </c>
      <c r="Q477" s="184">
        <f t="shared" si="139"/>
        <v>0</v>
      </c>
      <c r="R47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38782.5</v>
      </c>
      <c r="T47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38782.5</v>
      </c>
      <c r="U477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77" s="187">
        <f t="shared" si="140"/>
        <v>0</v>
      </c>
      <c r="W477" s="187">
        <f t="shared" si="141"/>
        <v>0</v>
      </c>
      <c r="X477" s="187">
        <f t="shared" si="142"/>
        <v>1.24</v>
      </c>
      <c r="Y477" s="187">
        <f t="shared" si="143"/>
        <v>0</v>
      </c>
      <c r="Z477" s="187">
        <f t="shared" si="144"/>
        <v>0</v>
      </c>
      <c r="AA477" s="183">
        <f t="shared" si="145"/>
        <v>0</v>
      </c>
      <c r="AB477" s="187">
        <f t="shared" si="146"/>
        <v>0</v>
      </c>
      <c r="AC477" s="183">
        <f t="shared" si="147"/>
        <v>0</v>
      </c>
      <c r="AD477" s="188">
        <f t="shared" si="148"/>
        <v>0.66666666666424135</v>
      </c>
      <c r="AE477" s="188">
        <f t="shared" si="149"/>
        <v>0.66666666666424135</v>
      </c>
      <c r="AF477" s="188">
        <f t="shared" si="150"/>
        <v>0</v>
      </c>
      <c r="AG477" s="188">
        <f t="shared" si="151"/>
        <v>0</v>
      </c>
    </row>
    <row r="478" spans="2:33" ht="15" customHeight="1" x14ac:dyDescent="0.15">
      <c r="B478" s="174" t="s">
        <v>5</v>
      </c>
      <c r="C478" s="175" t="s">
        <v>15</v>
      </c>
      <c r="D478" s="176" t="str">
        <f t="shared" si="133"/>
        <v>C</v>
      </c>
      <c r="E478" s="177" t="d">
        <v>2021-05-24T15:45:00.000</v>
      </c>
      <c r="F478" s="178" t="s">
        <v>82</v>
      </c>
      <c r="G478" s="179">
        <v>4179.71</v>
      </c>
      <c r="H478" s="179">
        <v>4160.3999999999996</v>
      </c>
      <c r="I478" s="180">
        <f t="shared" si="134"/>
        <v>19.3100000000004</v>
      </c>
      <c r="J478" s="179">
        <v>4305.22</v>
      </c>
      <c r="K478" s="177" t="d">
        <v>2021-05-25T18:08:59.99999987427145575</v>
      </c>
      <c r="L478" s="179">
        <v>4195.7299999999996</v>
      </c>
      <c r="M478" s="181">
        <f t="shared" si="135"/>
        <v>16.02</v>
      </c>
      <c r="N478" s="182">
        <f t="shared" si="136"/>
        <v>0.83</v>
      </c>
      <c r="O478" s="183">
        <f t="shared" si="137"/>
        <v>0</v>
      </c>
      <c r="P478" s="184">
        <f t="shared" si="138"/>
        <v>0.83</v>
      </c>
      <c r="Q478" s="184">
        <f t="shared" si="139"/>
        <v>0</v>
      </c>
      <c r="R47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38472.5</v>
      </c>
      <c r="T47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38765</v>
      </c>
      <c r="U478" s="186">
        <f ca="1">IF(Tabla33610673[[#This Row],[Equity]]&lt;Tabla33610673[[#This Row],[Equity Peak]],(Tabla33610673[[#This Row],[Equity Peak]]-Tabla33610673[[#This Row],[Equity]])/Tabla33610673[[#This Row],[Equity Peak]],"")</f>
        <v>7.5454662711208565E-3</v>
      </c>
      <c r="V478" s="187">
        <f t="shared" si="140"/>
        <v>0</v>
      </c>
      <c r="W478" s="187">
        <f t="shared" si="141"/>
        <v>0</v>
      </c>
      <c r="X478" s="187">
        <f t="shared" si="142"/>
        <v>0</v>
      </c>
      <c r="Y478" s="187">
        <f t="shared" si="143"/>
        <v>0</v>
      </c>
      <c r="Z478" s="187">
        <f t="shared" si="144"/>
        <v>0.83</v>
      </c>
      <c r="AA478" s="183">
        <f t="shared" si="145"/>
        <v>0</v>
      </c>
      <c r="AB478" s="187">
        <f t="shared" si="146"/>
        <v>0</v>
      </c>
      <c r="AC478" s="183">
        <f t="shared" si="147"/>
        <v>0</v>
      </c>
      <c r="AD478" s="188">
        <f t="shared" si="148"/>
        <v>1.0999999999985448</v>
      </c>
      <c r="AE478" s="188">
        <f t="shared" si="149"/>
        <v>1.0999999999985448</v>
      </c>
      <c r="AF478" s="188">
        <f t="shared" si="150"/>
        <v>0</v>
      </c>
      <c r="AG478" s="188">
        <f t="shared" si="151"/>
        <v>0</v>
      </c>
    </row>
    <row r="479" spans="2:33" ht="15" customHeight="1" x14ac:dyDescent="0.15">
      <c r="B479" s="174" t="s">
        <v>19</v>
      </c>
      <c r="C479" s="175" t="s">
        <v>15</v>
      </c>
      <c r="D479" s="176" t="str">
        <f t="shared" si="133"/>
        <v>C</v>
      </c>
      <c r="E479" s="177" t="d">
        <v>2021-05-25T17:15:00.000</v>
      </c>
      <c r="F479" s="178" t="s">
        <v>77</v>
      </c>
      <c r="G479" s="179">
        <v>1894.93</v>
      </c>
      <c r="H479" s="179">
        <v>1889.32</v>
      </c>
      <c r="I479" s="180">
        <f t="shared" si="134"/>
        <v>5.6100000000001273</v>
      </c>
      <c r="J479" s="179">
        <v>1921.84</v>
      </c>
      <c r="K479" s="177" t="d">
        <v>2021-05-25T17:39:00.00000029336660775</v>
      </c>
      <c r="L479" s="179">
        <v>1889.32</v>
      </c>
      <c r="M479" s="181">
        <f t="shared" si="135"/>
        <v>-5.61</v>
      </c>
      <c r="N479" s="182">
        <f t="shared" si="136"/>
        <v>-1</v>
      </c>
      <c r="O479" s="183">
        <f t="shared" si="137"/>
        <v>0</v>
      </c>
      <c r="P479" s="184">
        <f t="shared" si="138"/>
        <v>0</v>
      </c>
      <c r="Q479" s="184">
        <f t="shared" si="139"/>
        <v>-1</v>
      </c>
      <c r="R47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38265</v>
      </c>
      <c r="T47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38765</v>
      </c>
      <c r="U479" s="186">
        <f ca="1">IF(Tabla33610673[[#This Row],[Equity]]&lt;Tabla33610673[[#This Row],[Equity Peak]],(Tabla33610673[[#This Row],[Equity Peak]]-Tabla33610673[[#This Row],[Equity]])/Tabla33610673[[#This Row],[Equity Peak]],"")</f>
        <v>1.2898232942086934E-2</v>
      </c>
      <c r="V479" s="187">
        <f t="shared" si="140"/>
        <v>0</v>
      </c>
      <c r="W479" s="187">
        <f t="shared" si="141"/>
        <v>0</v>
      </c>
      <c r="X479" s="187">
        <f t="shared" si="142"/>
        <v>-1</v>
      </c>
      <c r="Y479" s="187">
        <f t="shared" si="143"/>
        <v>0</v>
      </c>
      <c r="Z479" s="187">
        <f t="shared" si="144"/>
        <v>0</v>
      </c>
      <c r="AA479" s="183">
        <f t="shared" si="145"/>
        <v>0</v>
      </c>
      <c r="AB479" s="187">
        <f t="shared" si="146"/>
        <v>0</v>
      </c>
      <c r="AC479" s="183">
        <f t="shared" si="147"/>
        <v>0</v>
      </c>
      <c r="AD479" s="188">
        <f t="shared" si="148"/>
        <v>1.6666666670062114E-2</v>
      </c>
      <c r="AE479" s="188">
        <f t="shared" si="149"/>
        <v>0</v>
      </c>
      <c r="AF479" s="188">
        <f t="shared" si="150"/>
        <v>1.6666666670062114E-2</v>
      </c>
      <c r="AG479" s="188">
        <f t="shared" si="151"/>
        <v>0</v>
      </c>
    </row>
    <row r="480" spans="2:33" ht="15" customHeight="1" x14ac:dyDescent="0.15">
      <c r="B480" s="174" t="s">
        <v>19</v>
      </c>
      <c r="C480" s="175" t="s">
        <v>15</v>
      </c>
      <c r="D480" s="176" t="str">
        <f t="shared" si="133"/>
        <v>C</v>
      </c>
      <c r="E480" s="177" t="d">
        <v>2021-05-25T09:45:00.000</v>
      </c>
      <c r="F480" s="178" t="s">
        <v>77</v>
      </c>
      <c r="G480" s="179">
        <v>1885.31</v>
      </c>
      <c r="H480" s="179">
        <v>1879.83</v>
      </c>
      <c r="I480" s="180">
        <f t="shared" si="134"/>
        <v>5.4800000000000182</v>
      </c>
      <c r="J480" s="179">
        <v>1911.6</v>
      </c>
      <c r="K480" s="177" t="d">
        <v>2021-05-25T14:48:00.00000016763806350</v>
      </c>
      <c r="L480" s="179">
        <v>1879.83</v>
      </c>
      <c r="M480" s="181">
        <f t="shared" si="135"/>
        <v>-5.48</v>
      </c>
      <c r="N480" s="182">
        <f t="shared" si="136"/>
        <v>-1</v>
      </c>
      <c r="O480" s="183">
        <f t="shared" si="137"/>
        <v>0</v>
      </c>
      <c r="P480" s="184">
        <f t="shared" si="138"/>
        <v>0</v>
      </c>
      <c r="Q480" s="184">
        <f t="shared" si="139"/>
        <v>-1</v>
      </c>
      <c r="R48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38515</v>
      </c>
      <c r="T48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38765</v>
      </c>
      <c r="U480" s="186">
        <f ca="1">IF(Tabla33610673[[#This Row],[Equity]]&lt;Tabla33610673[[#This Row],[Equity Peak]],(Tabla33610673[[#This Row],[Equity Peak]]-Tabla33610673[[#This Row],[Equity]])/Tabla33610673[[#This Row],[Equity Peak]],"")</f>
        <v>6.4491164710434668E-3</v>
      </c>
      <c r="V480" s="187">
        <f t="shared" si="140"/>
        <v>0</v>
      </c>
      <c r="W480" s="187">
        <f t="shared" si="141"/>
        <v>0</v>
      </c>
      <c r="X480" s="187">
        <f t="shared" si="142"/>
        <v>-1</v>
      </c>
      <c r="Y480" s="187">
        <f t="shared" si="143"/>
        <v>0</v>
      </c>
      <c r="Z480" s="187">
        <f t="shared" si="144"/>
        <v>0</v>
      </c>
      <c r="AA480" s="183">
        <f t="shared" si="145"/>
        <v>0</v>
      </c>
      <c r="AB480" s="187">
        <f t="shared" si="146"/>
        <v>0</v>
      </c>
      <c r="AC480" s="183">
        <f t="shared" si="147"/>
        <v>0</v>
      </c>
      <c r="AD480" s="188">
        <f t="shared" si="148"/>
        <v>0.21041666666860692</v>
      </c>
      <c r="AE480" s="188">
        <f t="shared" si="149"/>
        <v>0</v>
      </c>
      <c r="AF480" s="188">
        <f t="shared" si="150"/>
        <v>0.21041666666860692</v>
      </c>
      <c r="AG480" s="188">
        <f t="shared" si="151"/>
        <v>0</v>
      </c>
    </row>
    <row r="481" spans="2:33" ht="15" customHeight="1" x14ac:dyDescent="0.15">
      <c r="B481" s="174" t="s">
        <v>5</v>
      </c>
      <c r="C481" s="175" t="s">
        <v>15</v>
      </c>
      <c r="D481" s="176" t="str">
        <f t="shared" si="133"/>
        <v>C</v>
      </c>
      <c r="E481" s="177" t="d">
        <v>2021-05-24T16:44:59.99999979045242400</v>
      </c>
      <c r="F481" s="178" t="s">
        <v>81</v>
      </c>
      <c r="G481" s="179">
        <v>13580.11</v>
      </c>
      <c r="H481" s="179">
        <v>13523.2</v>
      </c>
      <c r="I481" s="180">
        <f t="shared" si="134"/>
        <v>56.909999999999854</v>
      </c>
      <c r="J481" s="179">
        <v>13921.54</v>
      </c>
      <c r="K481" s="177" t="d">
        <v>2021-05-25T14:00:59.99999977648258200</v>
      </c>
      <c r="L481" s="179">
        <v>13684.29</v>
      </c>
      <c r="M481" s="181">
        <f t="shared" si="135"/>
        <v>104.18</v>
      </c>
      <c r="N481" s="182">
        <f t="shared" si="136"/>
        <v>1.83</v>
      </c>
      <c r="O481" s="183">
        <f t="shared" si="137"/>
        <v>0</v>
      </c>
      <c r="P481" s="184">
        <f t="shared" si="138"/>
        <v>1.83</v>
      </c>
      <c r="Q481" s="184">
        <f t="shared" si="139"/>
        <v>0</v>
      </c>
      <c r="R48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38765</v>
      </c>
      <c r="T48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38765</v>
      </c>
      <c r="U481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81" s="187">
        <f t="shared" si="140"/>
        <v>0</v>
      </c>
      <c r="W481" s="187">
        <f t="shared" si="141"/>
        <v>0</v>
      </c>
      <c r="X481" s="187">
        <f t="shared" si="142"/>
        <v>0</v>
      </c>
      <c r="Y481" s="187">
        <f t="shared" si="143"/>
        <v>0</v>
      </c>
      <c r="Z481" s="187">
        <f t="shared" si="144"/>
        <v>1.83</v>
      </c>
      <c r="AA481" s="183">
        <f t="shared" si="145"/>
        <v>0</v>
      </c>
      <c r="AB481" s="187">
        <f t="shared" si="146"/>
        <v>0</v>
      </c>
      <c r="AC481" s="183">
        <f t="shared" si="147"/>
        <v>0</v>
      </c>
      <c r="AD481" s="188">
        <f t="shared" si="148"/>
        <v>0.88611111111094942</v>
      </c>
      <c r="AE481" s="188">
        <f t="shared" si="149"/>
        <v>0.88611111111094942</v>
      </c>
      <c r="AF481" s="188">
        <f t="shared" si="150"/>
        <v>0</v>
      </c>
      <c r="AG481" s="188">
        <f t="shared" si="151"/>
        <v>0</v>
      </c>
    </row>
    <row r="482" spans="2:33" ht="15" customHeight="1" x14ac:dyDescent="0.15">
      <c r="B482" s="174" t="s">
        <v>5</v>
      </c>
      <c r="C482" s="175" t="s">
        <v>15</v>
      </c>
      <c r="D482" s="176" t="str">
        <f t="shared" si="133"/>
        <v>C</v>
      </c>
      <c r="E482" s="177" t="d">
        <v>2021-05-24T17:45:00.00000020954757600</v>
      </c>
      <c r="F482" s="178" t="s">
        <v>80</v>
      </c>
      <c r="G482" s="179">
        <v>15544.2</v>
      </c>
      <c r="H482" s="179">
        <v>15495.67</v>
      </c>
      <c r="I482" s="180">
        <f t="shared" si="134"/>
        <v>48.530000000000655</v>
      </c>
      <c r="J482" s="179">
        <v>15900.1</v>
      </c>
      <c r="K482" s="177" t="d">
        <v>2021-05-25T10:35:59.99999991618096825</v>
      </c>
      <c r="L482" s="179">
        <v>15530.74</v>
      </c>
      <c r="M482" s="181">
        <f t="shared" si="135"/>
        <v>-13.46</v>
      </c>
      <c r="N482" s="182">
        <f t="shared" si="136"/>
        <v>-0.28000000000000003</v>
      </c>
      <c r="O482" s="183">
        <f t="shared" si="137"/>
        <v>0</v>
      </c>
      <c r="P482" s="184">
        <f t="shared" si="138"/>
        <v>0</v>
      </c>
      <c r="Q482" s="184">
        <f t="shared" si="139"/>
        <v>-0.28000000000000003</v>
      </c>
      <c r="R48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38307.5</v>
      </c>
      <c r="T48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38752.5</v>
      </c>
      <c r="U482" s="186">
        <f ca="1">IF(Tabla33610673[[#This Row],[Equity]]&lt;Tabla33610673[[#This Row],[Equity Peak]],(Tabla33610673[[#This Row],[Equity Peak]]-Tabla33610673[[#This Row],[Equity]])/Tabla33610673[[#This Row],[Equity Peak]],"")</f>
        <v>1.1483130120637378E-2</v>
      </c>
      <c r="V482" s="187">
        <f t="shared" si="140"/>
        <v>0</v>
      </c>
      <c r="W482" s="187">
        <f t="shared" si="141"/>
        <v>0</v>
      </c>
      <c r="X482" s="187">
        <f t="shared" si="142"/>
        <v>0</v>
      </c>
      <c r="Y482" s="187">
        <f t="shared" si="143"/>
        <v>0</v>
      </c>
      <c r="Z482" s="187">
        <f t="shared" si="144"/>
        <v>-0.28000000000000003</v>
      </c>
      <c r="AA482" s="183">
        <f t="shared" si="145"/>
        <v>0</v>
      </c>
      <c r="AB482" s="187">
        <f t="shared" si="146"/>
        <v>0</v>
      </c>
      <c r="AC482" s="183">
        <f t="shared" si="147"/>
        <v>0</v>
      </c>
      <c r="AD482" s="188">
        <f t="shared" si="148"/>
        <v>0.70208333332993789</v>
      </c>
      <c r="AE482" s="188">
        <f t="shared" si="149"/>
        <v>0</v>
      </c>
      <c r="AF482" s="188">
        <f t="shared" si="150"/>
        <v>0.70208333332993789</v>
      </c>
      <c r="AG482" s="188">
        <f t="shared" si="151"/>
        <v>0</v>
      </c>
    </row>
    <row r="483" spans="2:33" ht="15" customHeight="1" x14ac:dyDescent="0.15">
      <c r="B483" s="174" t="s">
        <v>5</v>
      </c>
      <c r="C483" s="175" t="s">
        <v>15</v>
      </c>
      <c r="D483" s="176" t="str">
        <f t="shared" si="133"/>
        <v>C</v>
      </c>
      <c r="E483" s="177" t="d">
        <v>2021-05-20T17:00:00.00000020954757600</v>
      </c>
      <c r="F483" s="178" t="s">
        <v>82</v>
      </c>
      <c r="G483" s="179">
        <v>4138.78</v>
      </c>
      <c r="H483" s="179">
        <v>4118.24</v>
      </c>
      <c r="I483" s="180">
        <f t="shared" si="134"/>
        <v>20.539999999999964</v>
      </c>
      <c r="J483" s="179">
        <v>4272.3</v>
      </c>
      <c r="K483" s="177" t="d">
        <v>2021-05-21T18:52:00.00000011175870900</v>
      </c>
      <c r="L483" s="179">
        <v>4168.8999999999996</v>
      </c>
      <c r="M483" s="181">
        <f t="shared" si="135"/>
        <v>30.12</v>
      </c>
      <c r="N483" s="182">
        <f t="shared" si="136"/>
        <v>1.47</v>
      </c>
      <c r="O483" s="183">
        <f t="shared" si="137"/>
        <v>0</v>
      </c>
      <c r="P483" s="184">
        <f t="shared" si="138"/>
        <v>1.47</v>
      </c>
      <c r="Q483" s="184">
        <f t="shared" si="139"/>
        <v>0</v>
      </c>
      <c r="R48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38377.5</v>
      </c>
      <c r="T48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38752.5</v>
      </c>
      <c r="U483" s="186">
        <f ca="1">IF(Tabla33610673[[#This Row],[Equity]]&lt;Tabla33610673[[#This Row],[Equity Peak]],(Tabla33610673[[#This Row],[Equity Peak]]-Tabla33610673[[#This Row],[Equity]])/Tabla33610673[[#This Row],[Equity Peak]],"")</f>
        <v>9.6767950454809369E-3</v>
      </c>
      <c r="V483" s="187">
        <f t="shared" si="140"/>
        <v>0</v>
      </c>
      <c r="W483" s="187">
        <f t="shared" si="141"/>
        <v>0</v>
      </c>
      <c r="X483" s="187">
        <f t="shared" si="142"/>
        <v>0</v>
      </c>
      <c r="Y483" s="187">
        <f t="shared" si="143"/>
        <v>0</v>
      </c>
      <c r="Z483" s="187">
        <f t="shared" si="144"/>
        <v>1.47</v>
      </c>
      <c r="AA483" s="183">
        <f t="shared" si="145"/>
        <v>0</v>
      </c>
      <c r="AB483" s="187">
        <f t="shared" si="146"/>
        <v>0</v>
      </c>
      <c r="AC483" s="183">
        <f t="shared" si="147"/>
        <v>0</v>
      </c>
      <c r="AD483" s="188">
        <f t="shared" si="148"/>
        <v>1.077777777776646</v>
      </c>
      <c r="AE483" s="188">
        <f t="shared" si="149"/>
        <v>1.077777777776646</v>
      </c>
      <c r="AF483" s="188">
        <f t="shared" si="150"/>
        <v>0</v>
      </c>
      <c r="AG483" s="188">
        <f t="shared" si="151"/>
        <v>0</v>
      </c>
    </row>
    <row r="484" spans="2:33" ht="15" customHeight="1" x14ac:dyDescent="0.15">
      <c r="B484" s="174" t="s">
        <v>5</v>
      </c>
      <c r="C484" s="175" t="s">
        <v>15</v>
      </c>
      <c r="D484" s="176" t="str">
        <f t="shared" si="133"/>
        <v>C</v>
      </c>
      <c r="E484" s="177" t="d">
        <v>2021-05-20T18:30:00.00000020954757600</v>
      </c>
      <c r="F484" s="178" t="s">
        <v>81</v>
      </c>
      <c r="G484" s="179">
        <v>13476.82</v>
      </c>
      <c r="H484" s="179">
        <v>13395.15</v>
      </c>
      <c r="I484" s="180">
        <f t="shared" si="134"/>
        <v>81.670000000000073</v>
      </c>
      <c r="J484" s="179">
        <v>13966.84</v>
      </c>
      <c r="K484" s="177" t="d">
        <v>2021-05-21T17:45:59.99999977648258200</v>
      </c>
      <c r="L484" s="179">
        <v>13452.73</v>
      </c>
      <c r="M484" s="181">
        <f t="shared" si="135"/>
        <v>-24.09</v>
      </c>
      <c r="N484" s="182">
        <f t="shared" si="136"/>
        <v>-0.28999999999999998</v>
      </c>
      <c r="O484" s="183">
        <f t="shared" si="137"/>
        <v>0</v>
      </c>
      <c r="P484" s="184">
        <f t="shared" si="138"/>
        <v>0</v>
      </c>
      <c r="Q484" s="184">
        <f t="shared" si="139"/>
        <v>-0.28999999999999998</v>
      </c>
      <c r="R48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38010</v>
      </c>
      <c r="T48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38752.5</v>
      </c>
      <c r="U484" s="186">
        <f ca="1">IF(Tabla33610673[[#This Row],[Equity]]&lt;Tabla33610673[[#This Row],[Equity Peak]],(Tabla33610673[[#This Row],[Equity Peak]]-Tabla33610673[[#This Row],[Equity]])/Tabla33610673[[#This Row],[Equity Peak]],"")</f>
        <v>1.9160054190052254E-2</v>
      </c>
      <c r="V484" s="187">
        <f t="shared" si="140"/>
        <v>0</v>
      </c>
      <c r="W484" s="187">
        <f t="shared" si="141"/>
        <v>0</v>
      </c>
      <c r="X484" s="187">
        <f t="shared" si="142"/>
        <v>0</v>
      </c>
      <c r="Y484" s="187">
        <f t="shared" si="143"/>
        <v>0</v>
      </c>
      <c r="Z484" s="187">
        <f t="shared" si="144"/>
        <v>-0.28999999999999998</v>
      </c>
      <c r="AA484" s="183">
        <f t="shared" si="145"/>
        <v>0</v>
      </c>
      <c r="AB484" s="187">
        <f t="shared" si="146"/>
        <v>0</v>
      </c>
      <c r="AC484" s="183">
        <f t="shared" si="147"/>
        <v>0</v>
      </c>
      <c r="AD484" s="188">
        <f t="shared" si="148"/>
        <v>0.96944444443943212</v>
      </c>
      <c r="AE484" s="188">
        <f t="shared" si="149"/>
        <v>0</v>
      </c>
      <c r="AF484" s="188">
        <f t="shared" si="150"/>
        <v>0.96944444443943212</v>
      </c>
      <c r="AG484" s="188">
        <f t="shared" si="151"/>
        <v>0</v>
      </c>
    </row>
    <row r="485" spans="2:33" ht="15" customHeight="1" x14ac:dyDescent="0.15">
      <c r="B485" s="174" t="s">
        <v>19</v>
      </c>
      <c r="C485" s="175" t="s">
        <v>15</v>
      </c>
      <c r="D485" s="176" t="str">
        <f t="shared" si="133"/>
        <v>C</v>
      </c>
      <c r="E485" s="177" t="d">
        <v>2021-05-21T12:45:00.000</v>
      </c>
      <c r="F485" s="178" t="s">
        <v>77</v>
      </c>
      <c r="G485" s="179">
        <v>1880.17</v>
      </c>
      <c r="H485" s="179">
        <v>1874.7</v>
      </c>
      <c r="I485" s="180">
        <f t="shared" si="134"/>
        <v>5.4700000000000273</v>
      </c>
      <c r="J485" s="179">
        <v>1906.42</v>
      </c>
      <c r="K485" s="177" t="d">
        <v>2021-05-21T16:51:59.99999990221113300</v>
      </c>
      <c r="L485" s="179">
        <v>1876.43</v>
      </c>
      <c r="M485" s="181">
        <f t="shared" si="135"/>
        <v>-3.74</v>
      </c>
      <c r="N485" s="182">
        <f t="shared" si="136"/>
        <v>-0.68</v>
      </c>
      <c r="O485" s="183">
        <f t="shared" si="137"/>
        <v>0</v>
      </c>
      <c r="P485" s="184">
        <f t="shared" si="138"/>
        <v>0</v>
      </c>
      <c r="Q485" s="184">
        <f t="shared" si="139"/>
        <v>-0.68</v>
      </c>
      <c r="R48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38082.5</v>
      </c>
      <c r="T48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38752.5</v>
      </c>
      <c r="U485" s="186">
        <f ca="1">IF(Tabla33610673[[#This Row],[Equity]]&lt;Tabla33610673[[#This Row],[Equity Peak]],(Tabla33610673[[#This Row],[Equity Peak]]-Tabla33610673[[#This Row],[Equity]])/Tabla33610673[[#This Row],[Equity Peak]],"")</f>
        <v>1.728920714792594E-2</v>
      </c>
      <c r="V485" s="187">
        <f t="shared" si="140"/>
        <v>0</v>
      </c>
      <c r="W485" s="187">
        <f t="shared" si="141"/>
        <v>0</v>
      </c>
      <c r="X485" s="187">
        <f t="shared" si="142"/>
        <v>-0.68</v>
      </c>
      <c r="Y485" s="187">
        <f t="shared" si="143"/>
        <v>0</v>
      </c>
      <c r="Z485" s="187">
        <f t="shared" si="144"/>
        <v>0</v>
      </c>
      <c r="AA485" s="183">
        <f t="shared" si="145"/>
        <v>0</v>
      </c>
      <c r="AB485" s="187">
        <f t="shared" si="146"/>
        <v>0</v>
      </c>
      <c r="AC485" s="183">
        <f t="shared" si="147"/>
        <v>0</v>
      </c>
      <c r="AD485" s="188">
        <f t="shared" si="148"/>
        <v>0.17152777777664596</v>
      </c>
      <c r="AE485" s="188">
        <f t="shared" si="149"/>
        <v>0</v>
      </c>
      <c r="AF485" s="188">
        <f t="shared" si="150"/>
        <v>0.17152777777664596</v>
      </c>
      <c r="AG485" s="188">
        <f t="shared" si="151"/>
        <v>0</v>
      </c>
    </row>
    <row r="486" spans="2:33" ht="15" customHeight="1" x14ac:dyDescent="0.15">
      <c r="B486" s="174" t="s">
        <v>19</v>
      </c>
      <c r="C486" s="175" t="s">
        <v>15</v>
      </c>
      <c r="D486" s="176" t="str">
        <f t="shared" si="133"/>
        <v>C</v>
      </c>
      <c r="E486" s="177" t="d">
        <v>2021-05-20T20:00:00.00000020954757600</v>
      </c>
      <c r="F486" s="178" t="s">
        <v>77</v>
      </c>
      <c r="G486" s="179">
        <v>1882.71</v>
      </c>
      <c r="H486" s="179">
        <v>1877.03</v>
      </c>
      <c r="I486" s="180">
        <f t="shared" si="134"/>
        <v>5.6800000000000637</v>
      </c>
      <c r="J486" s="179">
        <v>1909.97</v>
      </c>
      <c r="K486" s="177" t="d">
        <v>2021-05-20T20:54:00.00000008381903175</v>
      </c>
      <c r="L486" s="179">
        <v>1877.03</v>
      </c>
      <c r="M486" s="181">
        <f t="shared" si="135"/>
        <v>-5.68</v>
      </c>
      <c r="N486" s="182">
        <f t="shared" si="136"/>
        <v>-1</v>
      </c>
      <c r="O486" s="183">
        <f t="shared" si="137"/>
        <v>0</v>
      </c>
      <c r="P486" s="184">
        <f t="shared" si="138"/>
        <v>0</v>
      </c>
      <c r="Q486" s="184">
        <f t="shared" si="139"/>
        <v>-1</v>
      </c>
      <c r="R48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38252.5</v>
      </c>
      <c r="T48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38752.5</v>
      </c>
      <c r="U486" s="186">
        <f ca="1">IF(Tabla33610673[[#This Row],[Equity]]&lt;Tabla33610673[[#This Row],[Equity Peak]],(Tabla33610673[[#This Row],[Equity Peak]]-Tabla33610673[[#This Row],[Equity]])/Tabla33610673[[#This Row],[Equity Peak]],"")</f>
        <v>1.2902393393974582E-2</v>
      </c>
      <c r="V486" s="187">
        <f t="shared" si="140"/>
        <v>0</v>
      </c>
      <c r="W486" s="187">
        <f t="shared" si="141"/>
        <v>0</v>
      </c>
      <c r="X486" s="187">
        <f t="shared" si="142"/>
        <v>-1</v>
      </c>
      <c r="Y486" s="187">
        <f t="shared" si="143"/>
        <v>0</v>
      </c>
      <c r="Z486" s="187">
        <f t="shared" si="144"/>
        <v>0</v>
      </c>
      <c r="AA486" s="183">
        <f t="shared" si="145"/>
        <v>0</v>
      </c>
      <c r="AB486" s="187">
        <f t="shared" si="146"/>
        <v>0</v>
      </c>
      <c r="AC486" s="183">
        <f t="shared" si="147"/>
        <v>0</v>
      </c>
      <c r="AD486" s="188">
        <f t="shared" si="148"/>
        <v>3.7499999998544808E-2</v>
      </c>
      <c r="AE486" s="188">
        <f t="shared" si="149"/>
        <v>0</v>
      </c>
      <c r="AF486" s="188">
        <f t="shared" si="150"/>
        <v>3.7499999998544808E-2</v>
      </c>
      <c r="AG486" s="188">
        <f t="shared" si="151"/>
        <v>0</v>
      </c>
    </row>
    <row r="487" spans="2:33" ht="15" customHeight="1" x14ac:dyDescent="0.15">
      <c r="B487" s="174" t="s">
        <v>7</v>
      </c>
      <c r="C487" s="175" t="s">
        <v>13</v>
      </c>
      <c r="D487" s="176" t="str">
        <f t="shared" si="133"/>
        <v>C</v>
      </c>
      <c r="E487" s="177" t="d">
        <v>2021-05-19T17:45:00.00000020954757600</v>
      </c>
      <c r="F487" s="178" t="s">
        <v>102</v>
      </c>
      <c r="G487" s="179">
        <v>153.643</v>
      </c>
      <c r="H487" s="179">
        <v>153.94900000000001</v>
      </c>
      <c r="I487" s="180">
        <f t="shared" si="134"/>
        <v>0.3060000000000116</v>
      </c>
      <c r="J487" s="179">
        <v>152.01</v>
      </c>
      <c r="K487" s="177" t="d">
        <v>2021-05-19T18:24:00.00000029336660775</v>
      </c>
      <c r="L487" s="179">
        <v>153.94900000000001</v>
      </c>
      <c r="M487" s="181">
        <f t="shared" si="135"/>
        <v>-0.30599999999999999</v>
      </c>
      <c r="N487" s="182">
        <f t="shared" si="136"/>
        <v>-1</v>
      </c>
      <c r="O487" s="183">
        <f t="shared" si="137"/>
        <v>0</v>
      </c>
      <c r="P487" s="184">
        <f t="shared" si="138"/>
        <v>0</v>
      </c>
      <c r="Q487" s="184">
        <f t="shared" si="139"/>
        <v>-1</v>
      </c>
      <c r="R48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38502.5</v>
      </c>
      <c r="T48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38752.5</v>
      </c>
      <c r="U487" s="186">
        <f ca="1">IF(Tabla33610673[[#This Row],[Equity]]&lt;Tabla33610673[[#This Row],[Equity Peak]],(Tabla33610673[[#This Row],[Equity Peak]]-Tabla33610673[[#This Row],[Equity]])/Tabla33610673[[#This Row],[Equity Peak]],"")</f>
        <v>6.451196696987291E-3</v>
      </c>
      <c r="V487" s="187">
        <f t="shared" si="140"/>
        <v>-1</v>
      </c>
      <c r="W487" s="187">
        <f t="shared" si="141"/>
        <v>0</v>
      </c>
      <c r="X487" s="187">
        <f t="shared" si="142"/>
        <v>0</v>
      </c>
      <c r="Y487" s="187">
        <f t="shared" si="143"/>
        <v>0</v>
      </c>
      <c r="Z487" s="187">
        <f t="shared" si="144"/>
        <v>0</v>
      </c>
      <c r="AA487" s="183">
        <f t="shared" si="145"/>
        <v>0</v>
      </c>
      <c r="AB487" s="187">
        <f t="shared" si="146"/>
        <v>0</v>
      </c>
      <c r="AC487" s="183">
        <f t="shared" si="147"/>
        <v>0</v>
      </c>
      <c r="AD487" s="188">
        <f t="shared" si="148"/>
        <v>2.7083333334303461E-2</v>
      </c>
      <c r="AE487" s="188">
        <f t="shared" si="149"/>
        <v>0</v>
      </c>
      <c r="AF487" s="188">
        <f t="shared" si="150"/>
        <v>2.7083333334303461E-2</v>
      </c>
      <c r="AG487" s="188">
        <f t="shared" si="151"/>
        <v>0</v>
      </c>
    </row>
    <row r="488" spans="2:33" ht="15" customHeight="1" x14ac:dyDescent="0.15">
      <c r="B488" s="174" t="s">
        <v>5</v>
      </c>
      <c r="C488" s="175" t="s">
        <v>13</v>
      </c>
      <c r="D488" s="176" t="str">
        <f t="shared" si="133"/>
        <v>C</v>
      </c>
      <c r="E488" s="177" t="d">
        <v>2021-05-18T21:30:00.00000020954757600</v>
      </c>
      <c r="F488" s="178" t="s">
        <v>82</v>
      </c>
      <c r="G488" s="179">
        <v>4152.71</v>
      </c>
      <c r="H488" s="179">
        <v>4176.1899999999996</v>
      </c>
      <c r="I488" s="180">
        <f t="shared" si="134"/>
        <v>23.479999999999563</v>
      </c>
      <c r="J488" s="179">
        <v>4000.08</v>
      </c>
      <c r="K488" s="177" t="d">
        <v>2021-05-19T18:21:59.99999990221113300</v>
      </c>
      <c r="L488" s="179">
        <v>4088.49</v>
      </c>
      <c r="M488" s="181">
        <f t="shared" si="135"/>
        <v>64.22</v>
      </c>
      <c r="N488" s="182">
        <f t="shared" si="136"/>
        <v>2.74</v>
      </c>
      <c r="O488" s="183">
        <f t="shared" si="137"/>
        <v>0</v>
      </c>
      <c r="P488" s="184">
        <f t="shared" si="138"/>
        <v>2.74</v>
      </c>
      <c r="Q488" s="184">
        <f t="shared" si="139"/>
        <v>0</v>
      </c>
      <c r="R48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38752.5</v>
      </c>
      <c r="T48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38752.5</v>
      </c>
      <c r="U488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88" s="187">
        <f t="shared" si="140"/>
        <v>0</v>
      </c>
      <c r="W488" s="187">
        <f t="shared" si="141"/>
        <v>0</v>
      </c>
      <c r="X488" s="187">
        <f t="shared" si="142"/>
        <v>0</v>
      </c>
      <c r="Y488" s="187">
        <f t="shared" si="143"/>
        <v>0</v>
      </c>
      <c r="Z488" s="187">
        <f t="shared" si="144"/>
        <v>2.74</v>
      </c>
      <c r="AA488" s="183">
        <f t="shared" si="145"/>
        <v>0</v>
      </c>
      <c r="AB488" s="187">
        <f t="shared" si="146"/>
        <v>0</v>
      </c>
      <c r="AC488" s="183">
        <f t="shared" si="147"/>
        <v>0</v>
      </c>
      <c r="AD488" s="188">
        <f t="shared" si="148"/>
        <v>0.86944444444088731</v>
      </c>
      <c r="AE488" s="188">
        <f t="shared" si="149"/>
        <v>0.86944444444088731</v>
      </c>
      <c r="AF488" s="188">
        <f t="shared" si="150"/>
        <v>0</v>
      </c>
      <c r="AG488" s="188">
        <f t="shared" si="151"/>
        <v>0</v>
      </c>
    </row>
    <row r="489" spans="2:33" ht="15" customHeight="1" x14ac:dyDescent="0.15">
      <c r="B489" s="174" t="s">
        <v>19</v>
      </c>
      <c r="C489" s="175" t="s">
        <v>15</v>
      </c>
      <c r="D489" s="176" t="str">
        <f t="shared" si="133"/>
        <v>C</v>
      </c>
      <c r="E489" s="177" t="d">
        <v>2021-05-19T16:44:59.99999979045242400</v>
      </c>
      <c r="F489" s="178" t="s">
        <v>77</v>
      </c>
      <c r="G489" s="179">
        <v>1885.9</v>
      </c>
      <c r="H489" s="179">
        <v>1880.35</v>
      </c>
      <c r="I489" s="180">
        <f t="shared" si="134"/>
        <v>5.5500000000001819</v>
      </c>
      <c r="J489" s="179">
        <v>1912.56</v>
      </c>
      <c r="K489" s="177" t="d">
        <v>2021-05-19T17:22:00.00000011175870900</v>
      </c>
      <c r="L489" s="179">
        <v>1880.35</v>
      </c>
      <c r="M489" s="181">
        <f t="shared" si="135"/>
        <v>-5.55</v>
      </c>
      <c r="N489" s="182">
        <f t="shared" si="136"/>
        <v>-1</v>
      </c>
      <c r="O489" s="183">
        <f t="shared" si="137"/>
        <v>0</v>
      </c>
      <c r="P489" s="184">
        <f t="shared" si="138"/>
        <v>0</v>
      </c>
      <c r="Q489" s="184">
        <f t="shared" si="139"/>
        <v>-1</v>
      </c>
      <c r="R48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38067.5</v>
      </c>
      <c r="T48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38457.5</v>
      </c>
      <c r="U489" s="186">
        <f ca="1">IF(Tabla33610673[[#This Row],[Equity]]&lt;Tabla33610673[[#This Row],[Equity Peak]],(Tabla33610673[[#This Row],[Equity Peak]]-Tabla33610673[[#This Row],[Equity]])/Tabla33610673[[#This Row],[Equity Peak]],"")</f>
        <v>1.0141064811805239E-2</v>
      </c>
      <c r="V489" s="187">
        <f t="shared" si="140"/>
        <v>0</v>
      </c>
      <c r="W489" s="187">
        <f t="shared" si="141"/>
        <v>0</v>
      </c>
      <c r="X489" s="187">
        <f t="shared" si="142"/>
        <v>-1</v>
      </c>
      <c r="Y489" s="187">
        <f t="shared" si="143"/>
        <v>0</v>
      </c>
      <c r="Z489" s="187">
        <f t="shared" si="144"/>
        <v>0</v>
      </c>
      <c r="AA489" s="183">
        <f t="shared" si="145"/>
        <v>0</v>
      </c>
      <c r="AB489" s="187">
        <f t="shared" si="146"/>
        <v>0</v>
      </c>
      <c r="AC489" s="183">
        <f t="shared" si="147"/>
        <v>0</v>
      </c>
      <c r="AD489" s="188">
        <f t="shared" si="148"/>
        <v>2.5694444448163267E-2</v>
      </c>
      <c r="AE489" s="188">
        <f t="shared" si="149"/>
        <v>0</v>
      </c>
      <c r="AF489" s="188">
        <f t="shared" si="150"/>
        <v>2.5694444448163267E-2</v>
      </c>
      <c r="AG489" s="188">
        <f t="shared" si="151"/>
        <v>0</v>
      </c>
    </row>
    <row r="490" spans="2:33" ht="15" customHeight="1" x14ac:dyDescent="0.15">
      <c r="B490" s="174" t="s">
        <v>5</v>
      </c>
      <c r="C490" s="175" t="s">
        <v>13</v>
      </c>
      <c r="D490" s="176" t="str">
        <f t="shared" si="133"/>
        <v>C</v>
      </c>
      <c r="E490" s="177" t="d">
        <v>2021-05-19T03:00:00.000</v>
      </c>
      <c r="F490" s="178" t="s">
        <v>81</v>
      </c>
      <c r="G490" s="179">
        <v>13176.13</v>
      </c>
      <c r="H490" s="179">
        <v>13241.36</v>
      </c>
      <c r="I490" s="180">
        <f t="shared" si="134"/>
        <v>65.230000000001382</v>
      </c>
      <c r="J490" s="179">
        <v>12784.77</v>
      </c>
      <c r="K490" s="177" t="d">
        <v>2021-05-19T16:37:00.00000011175870900</v>
      </c>
      <c r="L490" s="179">
        <v>13039.63</v>
      </c>
      <c r="M490" s="181">
        <f t="shared" si="135"/>
        <v>136.5</v>
      </c>
      <c r="N490" s="182">
        <f t="shared" si="136"/>
        <v>2.09</v>
      </c>
      <c r="O490" s="183">
        <f t="shared" si="137"/>
        <v>0</v>
      </c>
      <c r="P490" s="184">
        <f t="shared" si="138"/>
        <v>2.09</v>
      </c>
      <c r="Q490" s="184">
        <f t="shared" si="139"/>
        <v>0</v>
      </c>
      <c r="R49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38317.5</v>
      </c>
      <c r="T49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38457.5</v>
      </c>
      <c r="U490" s="186">
        <f ca="1">IF(Tabla33610673[[#This Row],[Equity]]&lt;Tabla33610673[[#This Row],[Equity Peak]],(Tabla33610673[[#This Row],[Equity Peak]]-Tabla33610673[[#This Row],[Equity]])/Tabla33610673[[#This Row],[Equity Peak]],"")</f>
        <v>3.6403822401352144E-3</v>
      </c>
      <c r="V490" s="187">
        <f t="shared" si="140"/>
        <v>0</v>
      </c>
      <c r="W490" s="187">
        <f t="shared" si="141"/>
        <v>0</v>
      </c>
      <c r="X490" s="187">
        <f t="shared" si="142"/>
        <v>0</v>
      </c>
      <c r="Y490" s="187">
        <f t="shared" si="143"/>
        <v>0</v>
      </c>
      <c r="Z490" s="187">
        <f t="shared" si="144"/>
        <v>2.09</v>
      </c>
      <c r="AA490" s="183">
        <f t="shared" si="145"/>
        <v>0</v>
      </c>
      <c r="AB490" s="187">
        <f t="shared" si="146"/>
        <v>0</v>
      </c>
      <c r="AC490" s="183">
        <f t="shared" si="147"/>
        <v>0</v>
      </c>
      <c r="AD490" s="188">
        <f t="shared" si="148"/>
        <v>0.56736111111240461</v>
      </c>
      <c r="AE490" s="188">
        <f t="shared" si="149"/>
        <v>0.56736111111240461</v>
      </c>
      <c r="AF490" s="188">
        <f t="shared" si="150"/>
        <v>0</v>
      </c>
      <c r="AG490" s="188">
        <f t="shared" si="151"/>
        <v>0</v>
      </c>
    </row>
    <row r="491" spans="2:33" ht="15" customHeight="1" x14ac:dyDescent="0.15">
      <c r="B491" s="174" t="s">
        <v>7</v>
      </c>
      <c r="C491" s="175" t="s">
        <v>15</v>
      </c>
      <c r="D491" s="176" t="str">
        <f t="shared" si="133"/>
        <v>C</v>
      </c>
      <c r="E491" s="177" t="d">
        <v>2021-05-17T21:59:59.99999979045242400</v>
      </c>
      <c r="F491" s="178" t="s">
        <v>102</v>
      </c>
      <c r="G491" s="179">
        <v>154.43899999999999</v>
      </c>
      <c r="H491" s="179">
        <v>154.17099999999999</v>
      </c>
      <c r="I491" s="180">
        <f t="shared" si="134"/>
        <v>0.26800000000000068</v>
      </c>
      <c r="J491" s="179">
        <v>155.86600000000001</v>
      </c>
      <c r="K491" s="177" t="d">
        <v>2021-05-18T21:36:59.99999969266355025</v>
      </c>
      <c r="L491" s="179">
        <v>154.494</v>
      </c>
      <c r="M491" s="181">
        <f t="shared" si="135"/>
        <v>5.5E-2</v>
      </c>
      <c r="N491" s="182">
        <f t="shared" si="136"/>
        <v>0.21</v>
      </c>
      <c r="O491" s="183">
        <f t="shared" si="137"/>
        <v>0</v>
      </c>
      <c r="P491" s="184">
        <f t="shared" si="138"/>
        <v>0.21</v>
      </c>
      <c r="Q491" s="184">
        <f t="shared" si="139"/>
        <v>0</v>
      </c>
      <c r="R49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37795</v>
      </c>
      <c r="T49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38457.5</v>
      </c>
      <c r="U491" s="186">
        <f ca="1">IF(Tabla33610673[[#This Row],[Equity]]&lt;Tabla33610673[[#This Row],[Equity Peak]],(Tabla33610673[[#This Row],[Equity Peak]]-Tabla33610673[[#This Row],[Equity]])/Tabla33610673[[#This Row],[Equity Peak]],"")</f>
        <v>1.7226808814925568E-2</v>
      </c>
      <c r="V491" s="187">
        <f t="shared" si="140"/>
        <v>0.21</v>
      </c>
      <c r="W491" s="187">
        <f t="shared" si="141"/>
        <v>0</v>
      </c>
      <c r="X491" s="187">
        <f t="shared" si="142"/>
        <v>0</v>
      </c>
      <c r="Y491" s="187">
        <f t="shared" si="143"/>
        <v>0</v>
      </c>
      <c r="Z491" s="187">
        <f t="shared" si="144"/>
        <v>0</v>
      </c>
      <c r="AA491" s="183">
        <f t="shared" si="145"/>
        <v>0</v>
      </c>
      <c r="AB491" s="187">
        <f t="shared" si="146"/>
        <v>0</v>
      </c>
      <c r="AC491" s="183">
        <f t="shared" si="147"/>
        <v>0</v>
      </c>
      <c r="AD491" s="188">
        <f t="shared" si="148"/>
        <v>0.98402777777664596</v>
      </c>
      <c r="AE491" s="188">
        <f t="shared" si="149"/>
        <v>0.98402777777664596</v>
      </c>
      <c r="AF491" s="188">
        <f t="shared" si="150"/>
        <v>0</v>
      </c>
      <c r="AG491" s="188">
        <f t="shared" si="151"/>
        <v>0</v>
      </c>
    </row>
    <row r="492" spans="2:33" ht="15" customHeight="1" x14ac:dyDescent="0.15">
      <c r="B492" s="174" t="s">
        <v>5</v>
      </c>
      <c r="C492" s="175" t="s">
        <v>15</v>
      </c>
      <c r="D492" s="176" t="str">
        <f t="shared" si="133"/>
        <v>C</v>
      </c>
      <c r="E492" s="177" t="d">
        <v>2021-05-18T04:30:00.000</v>
      </c>
      <c r="F492" s="178" t="s">
        <v>82</v>
      </c>
      <c r="G492" s="179">
        <v>4174.97</v>
      </c>
      <c r="H492" s="179">
        <v>4147.87</v>
      </c>
      <c r="I492" s="180">
        <f t="shared" si="134"/>
        <v>27.100000000000364</v>
      </c>
      <c r="J492" s="179">
        <v>4351.1400000000003</v>
      </c>
      <c r="K492" s="177" t="d">
        <v>2021-05-18T17:06:59.99999969266355025</v>
      </c>
      <c r="L492" s="179">
        <v>4156.9799999999996</v>
      </c>
      <c r="M492" s="181">
        <f t="shared" si="135"/>
        <v>-17.989999999999998</v>
      </c>
      <c r="N492" s="182">
        <f t="shared" si="136"/>
        <v>-0.66</v>
      </c>
      <c r="O492" s="183">
        <f t="shared" si="137"/>
        <v>0</v>
      </c>
      <c r="P492" s="184">
        <f t="shared" si="138"/>
        <v>0</v>
      </c>
      <c r="Q492" s="184">
        <f t="shared" si="139"/>
        <v>-0.66</v>
      </c>
      <c r="R49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37742.5</v>
      </c>
      <c r="T49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38457.5</v>
      </c>
      <c r="U492" s="186">
        <f ca="1">IF(Tabla33610673[[#This Row],[Equity]]&lt;Tabla33610673[[#This Row],[Equity Peak]],(Tabla33610673[[#This Row],[Equity Peak]]-Tabla33610673[[#This Row],[Equity]])/Tabla33610673[[#This Row],[Equity Peak]],"")</f>
        <v>1.8591952154976273E-2</v>
      </c>
      <c r="V492" s="187">
        <f t="shared" si="140"/>
        <v>0</v>
      </c>
      <c r="W492" s="187">
        <f t="shared" si="141"/>
        <v>0</v>
      </c>
      <c r="X492" s="187">
        <f t="shared" si="142"/>
        <v>0</v>
      </c>
      <c r="Y492" s="187">
        <f t="shared" si="143"/>
        <v>0</v>
      </c>
      <c r="Z492" s="187">
        <f t="shared" si="144"/>
        <v>-0.66</v>
      </c>
      <c r="AA492" s="183">
        <f t="shared" si="145"/>
        <v>0</v>
      </c>
      <c r="AB492" s="187">
        <f t="shared" si="146"/>
        <v>0</v>
      </c>
      <c r="AC492" s="183">
        <f t="shared" si="147"/>
        <v>0</v>
      </c>
      <c r="AD492" s="188">
        <f t="shared" si="148"/>
        <v>0.52569444444088731</v>
      </c>
      <c r="AE492" s="188">
        <f t="shared" si="149"/>
        <v>0</v>
      </c>
      <c r="AF492" s="188">
        <f t="shared" si="150"/>
        <v>0.52569444444088731</v>
      </c>
      <c r="AG492" s="188">
        <f t="shared" si="151"/>
        <v>0</v>
      </c>
    </row>
    <row r="493" spans="2:33" ht="15" customHeight="1" x14ac:dyDescent="0.15">
      <c r="B493" s="174" t="s">
        <v>5</v>
      </c>
      <c r="C493" s="175" t="s">
        <v>15</v>
      </c>
      <c r="D493" s="176" t="str">
        <f t="shared" si="133"/>
        <v>C</v>
      </c>
      <c r="E493" s="177" t="d">
        <v>2021-05-18T04:30:00.000</v>
      </c>
      <c r="F493" s="178" t="s">
        <v>80</v>
      </c>
      <c r="G493" s="179">
        <v>15477.34</v>
      </c>
      <c r="H493" s="179">
        <v>15416.99</v>
      </c>
      <c r="I493" s="180">
        <f t="shared" si="134"/>
        <v>60.350000000000364</v>
      </c>
      <c r="J493" s="179">
        <v>15919.88</v>
      </c>
      <c r="K493" s="177" t="d">
        <v>2021-05-18T11:54:00.00000008381903175</v>
      </c>
      <c r="L493" s="179">
        <v>15429.04</v>
      </c>
      <c r="M493" s="181">
        <f t="shared" si="135"/>
        <v>-48.3</v>
      </c>
      <c r="N493" s="182">
        <f t="shared" si="136"/>
        <v>-0.8</v>
      </c>
      <c r="O493" s="183">
        <f t="shared" si="137"/>
        <v>0</v>
      </c>
      <c r="P493" s="184">
        <f t="shared" si="138"/>
        <v>0</v>
      </c>
      <c r="Q493" s="184">
        <f t="shared" si="139"/>
        <v>-0.8</v>
      </c>
      <c r="R49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37907.5</v>
      </c>
      <c r="T49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38457.5</v>
      </c>
      <c r="U493" s="186">
        <f ca="1">IF(Tabla33610673[[#This Row],[Equity]]&lt;Tabla33610673[[#This Row],[Equity Peak]],(Tabla33610673[[#This Row],[Equity Peak]]-Tabla33610673[[#This Row],[Equity]])/Tabla33610673[[#This Row],[Equity Peak]],"")</f>
        <v>1.4301501657674055E-2</v>
      </c>
      <c r="V493" s="187">
        <f t="shared" si="140"/>
        <v>0</v>
      </c>
      <c r="W493" s="187">
        <f t="shared" si="141"/>
        <v>0</v>
      </c>
      <c r="X493" s="187">
        <f t="shared" si="142"/>
        <v>0</v>
      </c>
      <c r="Y493" s="187">
        <f t="shared" si="143"/>
        <v>0</v>
      </c>
      <c r="Z493" s="187">
        <f t="shared" si="144"/>
        <v>-0.8</v>
      </c>
      <c r="AA493" s="183">
        <f t="shared" si="145"/>
        <v>0</v>
      </c>
      <c r="AB493" s="187">
        <f t="shared" si="146"/>
        <v>0</v>
      </c>
      <c r="AC493" s="183">
        <f t="shared" si="147"/>
        <v>0</v>
      </c>
      <c r="AD493" s="188">
        <f t="shared" si="148"/>
        <v>0.30833333333430346</v>
      </c>
      <c r="AE493" s="188">
        <f t="shared" si="149"/>
        <v>0</v>
      </c>
      <c r="AF493" s="188">
        <f t="shared" si="150"/>
        <v>0.30833333333430346</v>
      </c>
      <c r="AG493" s="188">
        <f t="shared" si="151"/>
        <v>0</v>
      </c>
    </row>
    <row r="494" spans="2:33" ht="15" customHeight="1" x14ac:dyDescent="0.15">
      <c r="B494" s="174" t="s">
        <v>5</v>
      </c>
      <c r="C494" s="175" t="s">
        <v>13</v>
      </c>
      <c r="D494" s="176" t="str">
        <f t="shared" si="133"/>
        <v>C</v>
      </c>
      <c r="E494" s="177" t="d">
        <v>2021-05-17T20:45:00.00000020954757600</v>
      </c>
      <c r="F494" s="178" t="s">
        <v>82</v>
      </c>
      <c r="G494" s="179">
        <v>4146.1899999999996</v>
      </c>
      <c r="H494" s="179">
        <v>4173.63</v>
      </c>
      <c r="I494" s="180">
        <f t="shared" si="134"/>
        <v>27.440000000000509</v>
      </c>
      <c r="J494" s="179">
        <v>3967.84</v>
      </c>
      <c r="K494" s="177" t="d">
        <v>2021-05-18T04:22:59.99999988824129100</v>
      </c>
      <c r="L494" s="179">
        <v>4173.63</v>
      </c>
      <c r="M494" s="181">
        <f t="shared" si="135"/>
        <v>-27.44</v>
      </c>
      <c r="N494" s="182">
        <f t="shared" si="136"/>
        <v>-1</v>
      </c>
      <c r="O494" s="183">
        <f t="shared" si="137"/>
        <v>0</v>
      </c>
      <c r="P494" s="184">
        <f t="shared" si="138"/>
        <v>0</v>
      </c>
      <c r="Q494" s="184">
        <f t="shared" si="139"/>
        <v>-1</v>
      </c>
      <c r="R49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38107.5</v>
      </c>
      <c r="T49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38457.5</v>
      </c>
      <c r="U494" s="186">
        <f ca="1">IF(Tabla33610673[[#This Row],[Equity]]&lt;Tabla33610673[[#This Row],[Equity Peak]],(Tabla33610673[[#This Row],[Equity Peak]]-Tabla33610673[[#This Row],[Equity]])/Tabla33610673[[#This Row],[Equity Peak]],"")</f>
        <v>9.1009556003380353E-3</v>
      </c>
      <c r="V494" s="187">
        <f t="shared" si="140"/>
        <v>0</v>
      </c>
      <c r="W494" s="187">
        <f t="shared" si="141"/>
        <v>0</v>
      </c>
      <c r="X494" s="187">
        <f t="shared" si="142"/>
        <v>0</v>
      </c>
      <c r="Y494" s="187">
        <f t="shared" si="143"/>
        <v>0</v>
      </c>
      <c r="Z494" s="187">
        <f t="shared" si="144"/>
        <v>-1</v>
      </c>
      <c r="AA494" s="183">
        <f t="shared" si="145"/>
        <v>0</v>
      </c>
      <c r="AB494" s="187">
        <f t="shared" si="146"/>
        <v>0</v>
      </c>
      <c r="AC494" s="183">
        <f t="shared" si="147"/>
        <v>0</v>
      </c>
      <c r="AD494" s="188">
        <f t="shared" si="148"/>
        <v>0.31805555555183673</v>
      </c>
      <c r="AE494" s="188">
        <f t="shared" si="149"/>
        <v>0</v>
      </c>
      <c r="AF494" s="188">
        <f t="shared" si="150"/>
        <v>0.31805555555183673</v>
      </c>
      <c r="AG494" s="188">
        <f t="shared" si="151"/>
        <v>0</v>
      </c>
    </row>
    <row r="495" spans="2:33" ht="15" customHeight="1" x14ac:dyDescent="0.15">
      <c r="B495" s="174" t="s">
        <v>5</v>
      </c>
      <c r="C495" s="175" t="s">
        <v>15</v>
      </c>
      <c r="D495" s="176" t="str">
        <f t="shared" si="133"/>
        <v>C</v>
      </c>
      <c r="E495" s="177" t="d">
        <v>2021-05-14T16:44:59.99999979045242400</v>
      </c>
      <c r="F495" s="178" t="s">
        <v>82</v>
      </c>
      <c r="G495" s="179">
        <v>4149.6400000000003</v>
      </c>
      <c r="H495" s="179">
        <v>4123.43</v>
      </c>
      <c r="I495" s="180">
        <f t="shared" si="134"/>
        <v>26.210000000000036</v>
      </c>
      <c r="J495" s="179">
        <v>4320.04</v>
      </c>
      <c r="K495" s="177" t="d">
        <v>2021-05-17T14:51:59.99999969266355025</v>
      </c>
      <c r="L495" s="179">
        <v>4156.2299999999996</v>
      </c>
      <c r="M495" s="181">
        <f t="shared" si="135"/>
        <v>6.59</v>
      </c>
      <c r="N495" s="182">
        <f t="shared" si="136"/>
        <v>0.25</v>
      </c>
      <c r="O495" s="183">
        <f t="shared" si="137"/>
        <v>0</v>
      </c>
      <c r="P495" s="184">
        <f t="shared" si="138"/>
        <v>0.25</v>
      </c>
      <c r="Q495" s="184">
        <f t="shared" si="139"/>
        <v>0</v>
      </c>
      <c r="R49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38357.5</v>
      </c>
      <c r="T49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38457.5</v>
      </c>
      <c r="U495" s="186">
        <f ca="1">IF(Tabla33610673[[#This Row],[Equity]]&lt;Tabla33610673[[#This Row],[Equity Peak]],(Tabla33610673[[#This Row],[Equity Peak]]-Tabla33610673[[#This Row],[Equity]])/Tabla33610673[[#This Row],[Equity Peak]],"")</f>
        <v>2.60027302866801E-3</v>
      </c>
      <c r="V495" s="187">
        <f t="shared" si="140"/>
        <v>0</v>
      </c>
      <c r="W495" s="187">
        <f t="shared" si="141"/>
        <v>0</v>
      </c>
      <c r="X495" s="187">
        <f t="shared" si="142"/>
        <v>0</v>
      </c>
      <c r="Y495" s="187">
        <f t="shared" si="143"/>
        <v>0</v>
      </c>
      <c r="Z495" s="187">
        <f t="shared" si="144"/>
        <v>0.25</v>
      </c>
      <c r="AA495" s="183">
        <f t="shared" si="145"/>
        <v>0</v>
      </c>
      <c r="AB495" s="187">
        <f t="shared" si="146"/>
        <v>0</v>
      </c>
      <c r="AC495" s="183">
        <f t="shared" si="147"/>
        <v>0</v>
      </c>
      <c r="AD495" s="188">
        <f t="shared" si="148"/>
        <v>2.921527777776646</v>
      </c>
      <c r="AE495" s="188">
        <f t="shared" si="149"/>
        <v>2.921527777776646</v>
      </c>
      <c r="AF495" s="188">
        <f t="shared" si="150"/>
        <v>0</v>
      </c>
      <c r="AG495" s="188">
        <f t="shared" si="151"/>
        <v>0</v>
      </c>
    </row>
    <row r="496" spans="2:33" ht="15" customHeight="1" x14ac:dyDescent="0.15">
      <c r="B496" s="174" t="s">
        <v>5</v>
      </c>
      <c r="C496" s="175" t="s">
        <v>15</v>
      </c>
      <c r="D496" s="176" t="str">
        <f t="shared" si="133"/>
        <v>C</v>
      </c>
      <c r="E496" s="177" t="d">
        <v>2021-05-14T18:45:00.000</v>
      </c>
      <c r="F496" s="178" t="s">
        <v>80</v>
      </c>
      <c r="G496" s="179">
        <v>15409.81</v>
      </c>
      <c r="H496" s="179">
        <v>15331</v>
      </c>
      <c r="I496" s="180">
        <f t="shared" si="134"/>
        <v>78.809999999999491</v>
      </c>
      <c r="J496" s="179">
        <v>15987.71</v>
      </c>
      <c r="K496" s="177" t="d">
        <v>2021-05-17T13:09:00.00000029336660775</v>
      </c>
      <c r="L496" s="179">
        <v>15358.25</v>
      </c>
      <c r="M496" s="181">
        <f t="shared" si="135"/>
        <v>-51.56</v>
      </c>
      <c r="N496" s="182">
        <f t="shared" si="136"/>
        <v>-0.65</v>
      </c>
      <c r="O496" s="183">
        <f t="shared" si="137"/>
        <v>0</v>
      </c>
      <c r="P496" s="184">
        <f t="shared" si="138"/>
        <v>0</v>
      </c>
      <c r="Q496" s="184">
        <f t="shared" si="139"/>
        <v>-0.65</v>
      </c>
      <c r="R49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38295</v>
      </c>
      <c r="T49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38457.5</v>
      </c>
      <c r="U496" s="186">
        <f ca="1">IF(Tabla33610673[[#This Row],[Equity]]&lt;Tabla33610673[[#This Row],[Equity Peak]],(Tabla33610673[[#This Row],[Equity Peak]]-Tabla33610673[[#This Row],[Equity]])/Tabla33610673[[#This Row],[Equity Peak]],"")</f>
        <v>4.2254436715855161E-3</v>
      </c>
      <c r="V496" s="187">
        <f t="shared" si="140"/>
        <v>0</v>
      </c>
      <c r="W496" s="187">
        <f t="shared" si="141"/>
        <v>0</v>
      </c>
      <c r="X496" s="187">
        <f t="shared" si="142"/>
        <v>0</v>
      </c>
      <c r="Y496" s="187">
        <f t="shared" si="143"/>
        <v>0</v>
      </c>
      <c r="Z496" s="187">
        <f t="shared" si="144"/>
        <v>-0.65</v>
      </c>
      <c r="AA496" s="183">
        <f t="shared" si="145"/>
        <v>0</v>
      </c>
      <c r="AB496" s="187">
        <f t="shared" si="146"/>
        <v>0</v>
      </c>
      <c r="AC496" s="183">
        <f t="shared" si="147"/>
        <v>0</v>
      </c>
      <c r="AD496" s="188">
        <f t="shared" si="148"/>
        <v>2.7666666666700621</v>
      </c>
      <c r="AE496" s="188">
        <f t="shared" si="149"/>
        <v>0</v>
      </c>
      <c r="AF496" s="188">
        <f t="shared" si="150"/>
        <v>2.7666666666700621</v>
      </c>
      <c r="AG496" s="188">
        <f t="shared" si="151"/>
        <v>0</v>
      </c>
    </row>
    <row r="497" spans="2:33" ht="15" customHeight="1" x14ac:dyDescent="0.15">
      <c r="B497" s="174" t="s">
        <v>19</v>
      </c>
      <c r="C497" s="175" t="s">
        <v>15</v>
      </c>
      <c r="D497" s="176" t="str">
        <f t="shared" si="133"/>
        <v>C</v>
      </c>
      <c r="E497" s="177" t="d">
        <v>2021-05-13T18:00:00.000</v>
      </c>
      <c r="F497" s="178" t="s">
        <v>77</v>
      </c>
      <c r="G497" s="179">
        <v>1824.17</v>
      </c>
      <c r="H497" s="179">
        <v>1818.24</v>
      </c>
      <c r="I497" s="180">
        <f t="shared" si="134"/>
        <v>5.9300000000000637</v>
      </c>
      <c r="J497" s="179">
        <v>1852.61</v>
      </c>
      <c r="K497" s="177" t="d">
        <v>2021-05-17T04:24:00.00000008381903175</v>
      </c>
      <c r="L497" s="179">
        <v>1852.61</v>
      </c>
      <c r="M497" s="181">
        <f t="shared" si="135"/>
        <v>28.44</v>
      </c>
      <c r="N497" s="182">
        <f t="shared" si="136"/>
        <v>4.8</v>
      </c>
      <c r="O497" s="183">
        <f t="shared" si="137"/>
        <v>0</v>
      </c>
      <c r="P497" s="184">
        <f t="shared" si="138"/>
        <v>4.8</v>
      </c>
      <c r="Q497" s="184">
        <f t="shared" si="139"/>
        <v>0</v>
      </c>
      <c r="R49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38457.5</v>
      </c>
      <c r="T49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38457.5</v>
      </c>
      <c r="U497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497" s="187">
        <f t="shared" si="140"/>
        <v>0</v>
      </c>
      <c r="W497" s="187">
        <f t="shared" si="141"/>
        <v>0</v>
      </c>
      <c r="X497" s="187">
        <f t="shared" si="142"/>
        <v>4.8</v>
      </c>
      <c r="Y497" s="187">
        <f t="shared" si="143"/>
        <v>0</v>
      </c>
      <c r="Z497" s="187">
        <f t="shared" si="144"/>
        <v>0</v>
      </c>
      <c r="AA497" s="183">
        <f t="shared" si="145"/>
        <v>0</v>
      </c>
      <c r="AB497" s="187">
        <f t="shared" si="146"/>
        <v>0</v>
      </c>
      <c r="AC497" s="183">
        <f t="shared" si="147"/>
        <v>0</v>
      </c>
      <c r="AD497" s="188">
        <f t="shared" si="148"/>
        <v>3.4333333333343035</v>
      </c>
      <c r="AE497" s="188">
        <f t="shared" si="149"/>
        <v>3.4333333333343035</v>
      </c>
      <c r="AF497" s="188">
        <f t="shared" si="150"/>
        <v>0</v>
      </c>
      <c r="AG497" s="188">
        <f t="shared" si="151"/>
        <v>0</v>
      </c>
    </row>
    <row r="498" spans="2:33" ht="15" customHeight="1" x14ac:dyDescent="0.15">
      <c r="B498" s="174" t="s">
        <v>5</v>
      </c>
      <c r="C498" s="175" t="s">
        <v>13</v>
      </c>
      <c r="D498" s="176" t="str">
        <f t="shared" si="133"/>
        <v>C</v>
      </c>
      <c r="E498" s="177" t="d">
        <v>2021-05-12T18:59:59.99999979045242400</v>
      </c>
      <c r="F498" s="178" t="s">
        <v>81</v>
      </c>
      <c r="G498" s="179">
        <v>13024.7</v>
      </c>
      <c r="H498" s="179">
        <v>13129.01</v>
      </c>
      <c r="I498" s="180">
        <f t="shared" si="134"/>
        <v>104.30999999999949</v>
      </c>
      <c r="J498" s="179">
        <v>12398.83</v>
      </c>
      <c r="K498" s="177" t="d">
        <v>2021-05-13T15:36:59.99999969266355025</v>
      </c>
      <c r="L498" s="179">
        <v>13105.57</v>
      </c>
      <c r="M498" s="181">
        <f t="shared" si="135"/>
        <v>-80.87</v>
      </c>
      <c r="N498" s="182">
        <f t="shared" si="136"/>
        <v>-0.78</v>
      </c>
      <c r="O498" s="183">
        <f t="shared" si="137"/>
        <v>0</v>
      </c>
      <c r="P498" s="184">
        <f t="shared" si="138"/>
        <v>0</v>
      </c>
      <c r="Q498" s="184">
        <f t="shared" si="139"/>
        <v>-0.78</v>
      </c>
      <c r="R49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37257.5</v>
      </c>
      <c r="T49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38105</v>
      </c>
      <c r="U498" s="186">
        <f ca="1">IF(Tabla33610673[[#This Row],[Equity]]&lt;Tabla33610673[[#This Row],[Equity Peak]],(Tabla33610673[[#This Row],[Equity Peak]]-Tabla33610673[[#This Row],[Equity]])/Tabla33610673[[#This Row],[Equity Peak]],"")</f>
        <v>2.22411756987272E-2</v>
      </c>
      <c r="V498" s="187">
        <f t="shared" si="140"/>
        <v>0</v>
      </c>
      <c r="W498" s="187">
        <f t="shared" si="141"/>
        <v>0</v>
      </c>
      <c r="X498" s="187">
        <f t="shared" si="142"/>
        <v>0</v>
      </c>
      <c r="Y498" s="187">
        <f t="shared" si="143"/>
        <v>0</v>
      </c>
      <c r="Z498" s="187">
        <f t="shared" si="144"/>
        <v>-0.78</v>
      </c>
      <c r="AA498" s="183">
        <f t="shared" si="145"/>
        <v>0</v>
      </c>
      <c r="AB498" s="187">
        <f t="shared" si="146"/>
        <v>0</v>
      </c>
      <c r="AC498" s="183">
        <f t="shared" si="147"/>
        <v>0</v>
      </c>
      <c r="AD498" s="188">
        <f t="shared" si="148"/>
        <v>0.85902777777664596</v>
      </c>
      <c r="AE498" s="188">
        <f t="shared" si="149"/>
        <v>0</v>
      </c>
      <c r="AF498" s="188">
        <f t="shared" si="150"/>
        <v>0.85902777777664596</v>
      </c>
      <c r="AG498" s="188">
        <f t="shared" si="151"/>
        <v>0</v>
      </c>
    </row>
    <row r="499" spans="2:33" ht="15" customHeight="1" x14ac:dyDescent="0.15">
      <c r="B499" s="174" t="s">
        <v>5</v>
      </c>
      <c r="C499" s="175" t="s">
        <v>13</v>
      </c>
      <c r="D499" s="176" t="str">
        <f t="shared" si="133"/>
        <v>C</v>
      </c>
      <c r="E499" s="177" t="d">
        <v>2021-05-13T10:15:00.00000020954757600</v>
      </c>
      <c r="F499" s="178" t="s">
        <v>80</v>
      </c>
      <c r="G499" s="179">
        <v>14962.37</v>
      </c>
      <c r="H499" s="179">
        <v>15052.4</v>
      </c>
      <c r="I499" s="180">
        <f t="shared" si="134"/>
        <v>90.029999999998836</v>
      </c>
      <c r="J499" s="179">
        <v>14302.17</v>
      </c>
      <c r="K499" s="177" t="d">
        <v>2021-05-13T14:33:59.99999994412064550</v>
      </c>
      <c r="L499" s="179">
        <v>14970.31</v>
      </c>
      <c r="M499" s="181">
        <f t="shared" si="135"/>
        <v>-7.94</v>
      </c>
      <c r="N499" s="182">
        <f t="shared" si="136"/>
        <v>-0.09</v>
      </c>
      <c r="O499" s="183">
        <f t="shared" si="137"/>
        <v>0</v>
      </c>
      <c r="P499" s="184">
        <f t="shared" si="138"/>
        <v>0</v>
      </c>
      <c r="Q499" s="184">
        <f t="shared" si="139"/>
        <v>-0.09</v>
      </c>
      <c r="R49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37452.5</v>
      </c>
      <c r="T49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38105</v>
      </c>
      <c r="U499" s="186">
        <f ca="1">IF(Tabla33610673[[#This Row],[Equity]]&lt;Tabla33610673[[#This Row],[Equity Peak]],(Tabla33610673[[#This Row],[Equity Peak]]-Tabla33610673[[#This Row],[Equity]])/Tabla33610673[[#This Row],[Equity Peak]],"")</f>
        <v>1.7123737042382889E-2</v>
      </c>
      <c r="V499" s="187">
        <f t="shared" si="140"/>
        <v>0</v>
      </c>
      <c r="W499" s="187">
        <f t="shared" si="141"/>
        <v>0</v>
      </c>
      <c r="X499" s="187">
        <f t="shared" si="142"/>
        <v>0</v>
      </c>
      <c r="Y499" s="187">
        <f t="shared" si="143"/>
        <v>0</v>
      </c>
      <c r="Z499" s="187">
        <f t="shared" si="144"/>
        <v>-0.09</v>
      </c>
      <c r="AA499" s="183">
        <f t="shared" si="145"/>
        <v>0</v>
      </c>
      <c r="AB499" s="187">
        <f t="shared" si="146"/>
        <v>0</v>
      </c>
      <c r="AC499" s="183">
        <f t="shared" si="147"/>
        <v>0</v>
      </c>
      <c r="AD499" s="188">
        <f t="shared" si="148"/>
        <v>0.17986111110803904</v>
      </c>
      <c r="AE499" s="188">
        <f t="shared" si="149"/>
        <v>0</v>
      </c>
      <c r="AF499" s="188">
        <f t="shared" si="150"/>
        <v>0.17986111110803904</v>
      </c>
      <c r="AG499" s="188">
        <f t="shared" si="151"/>
        <v>0</v>
      </c>
    </row>
    <row r="500" spans="2:33" ht="15" customHeight="1" x14ac:dyDescent="0.15">
      <c r="B500" s="174" t="s">
        <v>7</v>
      </c>
      <c r="C500" s="175" t="s">
        <v>15</v>
      </c>
      <c r="D500" s="176" t="str">
        <f t="shared" si="133"/>
        <v>C</v>
      </c>
      <c r="E500" s="177" t="d">
        <v>2021-05-12T15:45:00.000</v>
      </c>
      <c r="F500" s="178" t="s">
        <v>102</v>
      </c>
      <c r="G500" s="179">
        <v>154.09700000000001</v>
      </c>
      <c r="H500" s="179">
        <v>153.77500000000001</v>
      </c>
      <c r="I500" s="180">
        <f t="shared" si="134"/>
        <v>0.32200000000000273</v>
      </c>
      <c r="J500" s="179">
        <v>155.816</v>
      </c>
      <c r="K500" s="177" t="d">
        <v>2021-05-13T09:47:59.9999999580904875</v>
      </c>
      <c r="L500" s="179">
        <v>153.928</v>
      </c>
      <c r="M500" s="181">
        <f t="shared" si="135"/>
        <v>-0.16900000000000001</v>
      </c>
      <c r="N500" s="182">
        <f t="shared" si="136"/>
        <v>-0.52</v>
      </c>
      <c r="O500" s="183">
        <f t="shared" si="137"/>
        <v>0</v>
      </c>
      <c r="P500" s="184">
        <f t="shared" si="138"/>
        <v>0</v>
      </c>
      <c r="Q500" s="184">
        <f t="shared" si="139"/>
        <v>-0.52</v>
      </c>
      <c r="R50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37475</v>
      </c>
      <c r="T50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38105</v>
      </c>
      <c r="U500" s="186">
        <f ca="1">IF(Tabla33610673[[#This Row],[Equity]]&lt;Tabla33610673[[#This Row],[Equity Peak]],(Tabla33610673[[#This Row],[Equity Peak]]-Tabla33610673[[#This Row],[Equity]])/Tabla33610673[[#This Row],[Equity Peak]],"")</f>
        <v>1.6533263351266238E-2</v>
      </c>
      <c r="V500" s="187">
        <f t="shared" si="140"/>
        <v>-0.52</v>
      </c>
      <c r="W500" s="187">
        <f t="shared" si="141"/>
        <v>0</v>
      </c>
      <c r="X500" s="187">
        <f t="shared" si="142"/>
        <v>0</v>
      </c>
      <c r="Y500" s="187">
        <f t="shared" si="143"/>
        <v>0</v>
      </c>
      <c r="Z500" s="187">
        <f t="shared" si="144"/>
        <v>0</v>
      </c>
      <c r="AA500" s="183">
        <f t="shared" si="145"/>
        <v>0</v>
      </c>
      <c r="AB500" s="187">
        <f t="shared" si="146"/>
        <v>0</v>
      </c>
      <c r="AC500" s="183">
        <f t="shared" si="147"/>
        <v>0</v>
      </c>
      <c r="AD500" s="188">
        <f t="shared" si="148"/>
        <v>0.75208333333284827</v>
      </c>
      <c r="AE500" s="188">
        <f t="shared" si="149"/>
        <v>0</v>
      </c>
      <c r="AF500" s="188">
        <f t="shared" si="150"/>
        <v>0.75208333333284827</v>
      </c>
      <c r="AG500" s="188">
        <f t="shared" si="151"/>
        <v>0</v>
      </c>
    </row>
    <row r="501" spans="2:33" ht="15" customHeight="1" x14ac:dyDescent="0.15">
      <c r="B501" s="174" t="s">
        <v>7</v>
      </c>
      <c r="C501" s="175" t="s">
        <v>15</v>
      </c>
      <c r="D501" s="176" t="str">
        <f t="shared" si="133"/>
        <v>C</v>
      </c>
      <c r="E501" s="177" t="d">
        <v>2021-05-13T03:14:59.99999979045242400</v>
      </c>
      <c r="F501" s="178" t="s">
        <v>103</v>
      </c>
      <c r="G501" s="179">
        <v>109.75</v>
      </c>
      <c r="H501" s="179">
        <v>109.541</v>
      </c>
      <c r="I501" s="180">
        <f t="shared" si="134"/>
        <v>0.20900000000000318</v>
      </c>
      <c r="J501" s="179">
        <v>111.06699999999999</v>
      </c>
      <c r="K501" s="177" t="d">
        <v>2021-05-13T03:53:59.99999987427145575</v>
      </c>
      <c r="L501" s="179">
        <v>109.541</v>
      </c>
      <c r="M501" s="181">
        <f t="shared" si="135"/>
        <v>-0.20899999999999999</v>
      </c>
      <c r="N501" s="182">
        <f t="shared" si="136"/>
        <v>-1</v>
      </c>
      <c r="O501" s="183">
        <f t="shared" si="137"/>
        <v>0</v>
      </c>
      <c r="P501" s="184">
        <f t="shared" si="138"/>
        <v>0</v>
      </c>
      <c r="Q501" s="184">
        <f t="shared" si="139"/>
        <v>-1</v>
      </c>
      <c r="R50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37605</v>
      </c>
      <c r="T50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38105</v>
      </c>
      <c r="U501" s="186">
        <f ca="1">IF(Tabla33610673[[#This Row],[Equity]]&lt;Tabla33610673[[#This Row],[Equity Peak]],(Tabla33610673[[#This Row],[Equity Peak]]-Tabla33610673[[#This Row],[Equity]])/Tabla33610673[[#This Row],[Equity Peak]],"")</f>
        <v>1.312163758037003E-2</v>
      </c>
      <c r="V501" s="187">
        <f t="shared" si="140"/>
        <v>-1</v>
      </c>
      <c r="W501" s="187">
        <f t="shared" si="141"/>
        <v>0</v>
      </c>
      <c r="X501" s="187">
        <f t="shared" si="142"/>
        <v>0</v>
      </c>
      <c r="Y501" s="187">
        <f t="shared" si="143"/>
        <v>0</v>
      </c>
      <c r="Z501" s="187">
        <f t="shared" si="144"/>
        <v>0</v>
      </c>
      <c r="AA501" s="183">
        <f t="shared" si="145"/>
        <v>0</v>
      </c>
      <c r="AB501" s="187">
        <f t="shared" si="146"/>
        <v>0</v>
      </c>
      <c r="AC501" s="183">
        <f t="shared" si="147"/>
        <v>0</v>
      </c>
      <c r="AD501" s="188">
        <f t="shared" si="148"/>
        <v>2.7083333334303461E-2</v>
      </c>
      <c r="AE501" s="188">
        <f t="shared" si="149"/>
        <v>0</v>
      </c>
      <c r="AF501" s="188">
        <f t="shared" si="150"/>
        <v>2.7083333334303461E-2</v>
      </c>
      <c r="AG501" s="188">
        <f t="shared" si="151"/>
        <v>0</v>
      </c>
    </row>
    <row r="502" spans="2:33" ht="15" customHeight="1" x14ac:dyDescent="0.15">
      <c r="B502" s="174" t="s">
        <v>19</v>
      </c>
      <c r="C502" s="175" t="s">
        <v>15</v>
      </c>
      <c r="D502" s="176" t="str">
        <f t="shared" si="133"/>
        <v>C</v>
      </c>
      <c r="E502" s="177" t="d">
        <v>2021-05-12T15:59:59.99999979045242400</v>
      </c>
      <c r="F502" s="178" t="s">
        <v>77</v>
      </c>
      <c r="G502" s="179">
        <v>1839.97</v>
      </c>
      <c r="H502" s="179">
        <v>1834.54</v>
      </c>
      <c r="I502" s="180">
        <f t="shared" si="134"/>
        <v>5.4300000000000637</v>
      </c>
      <c r="J502" s="179">
        <v>1866.03</v>
      </c>
      <c r="K502" s="177" t="d">
        <v>2021-05-12T16:21:00.00000012572854425</v>
      </c>
      <c r="L502" s="179">
        <v>1834.54</v>
      </c>
      <c r="M502" s="181">
        <f t="shared" si="135"/>
        <v>-5.43</v>
      </c>
      <c r="N502" s="182">
        <f t="shared" si="136"/>
        <v>-1</v>
      </c>
      <c r="O502" s="183">
        <f t="shared" si="137"/>
        <v>0</v>
      </c>
      <c r="P502" s="184">
        <f t="shared" si="138"/>
        <v>0</v>
      </c>
      <c r="Q502" s="184">
        <f t="shared" si="139"/>
        <v>-1</v>
      </c>
      <c r="R50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37855</v>
      </c>
      <c r="T50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38105</v>
      </c>
      <c r="U502" s="186">
        <f ca="1">IF(Tabla33610673[[#This Row],[Equity]]&lt;Tabla33610673[[#This Row],[Equity Peak]],(Tabla33610673[[#This Row],[Equity Peak]]-Tabla33610673[[#This Row],[Equity]])/Tabla33610673[[#This Row],[Equity Peak]],"")</f>
        <v>6.560818790185015E-3</v>
      </c>
      <c r="V502" s="187">
        <f t="shared" si="140"/>
        <v>0</v>
      </c>
      <c r="W502" s="187">
        <f t="shared" si="141"/>
        <v>0</v>
      </c>
      <c r="X502" s="187">
        <f t="shared" si="142"/>
        <v>-1</v>
      </c>
      <c r="Y502" s="187">
        <f t="shared" si="143"/>
        <v>0</v>
      </c>
      <c r="Z502" s="187">
        <f t="shared" si="144"/>
        <v>0</v>
      </c>
      <c r="AA502" s="183">
        <f t="shared" si="145"/>
        <v>0</v>
      </c>
      <c r="AB502" s="187">
        <f t="shared" si="146"/>
        <v>0</v>
      </c>
      <c r="AC502" s="183">
        <f t="shared" si="147"/>
        <v>0</v>
      </c>
      <c r="AD502" s="188">
        <f t="shared" si="148"/>
        <v>1.4583333337213844E-2</v>
      </c>
      <c r="AE502" s="188">
        <f t="shared" si="149"/>
        <v>0</v>
      </c>
      <c r="AF502" s="188">
        <f t="shared" si="150"/>
        <v>1.4583333337213844E-2</v>
      </c>
      <c r="AG502" s="188">
        <f t="shared" si="151"/>
        <v>0</v>
      </c>
    </row>
    <row r="503" spans="2:33" ht="15" customHeight="1" x14ac:dyDescent="0.15">
      <c r="B503" s="174" t="s">
        <v>5</v>
      </c>
      <c r="C503" s="175" t="s">
        <v>13</v>
      </c>
      <c r="D503" s="176" t="str">
        <f t="shared" si="133"/>
        <v>C</v>
      </c>
      <c r="E503" s="177" t="d">
        <v>2021-05-10T23:00:00.00000020954757600</v>
      </c>
      <c r="F503" s="178" t="s">
        <v>82</v>
      </c>
      <c r="G503" s="179">
        <v>4190.5</v>
      </c>
      <c r="H503" s="179">
        <v>4207.59</v>
      </c>
      <c r="I503" s="180">
        <f t="shared" si="134"/>
        <v>17.090000000000146</v>
      </c>
      <c r="J503" s="179">
        <v>4079.39</v>
      </c>
      <c r="K503" s="177" t="d">
        <v>2021-05-11T09:45:00.000</v>
      </c>
      <c r="L503" s="179">
        <v>4175.93</v>
      </c>
      <c r="M503" s="181">
        <f t="shared" si="135"/>
        <v>14.57</v>
      </c>
      <c r="N503" s="182">
        <f t="shared" si="136"/>
        <v>0.85</v>
      </c>
      <c r="O503" s="183">
        <f t="shared" si="137"/>
        <v>0</v>
      </c>
      <c r="P503" s="184">
        <f t="shared" si="138"/>
        <v>0.85</v>
      </c>
      <c r="Q503" s="184">
        <f t="shared" si="139"/>
        <v>0</v>
      </c>
      <c r="R50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38105</v>
      </c>
      <c r="T50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38105</v>
      </c>
      <c r="U503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503" s="187">
        <f t="shared" si="140"/>
        <v>0</v>
      </c>
      <c r="W503" s="187">
        <f t="shared" si="141"/>
        <v>0</v>
      </c>
      <c r="X503" s="187">
        <f t="shared" si="142"/>
        <v>0</v>
      </c>
      <c r="Y503" s="187">
        <f t="shared" si="143"/>
        <v>0</v>
      </c>
      <c r="Z503" s="187">
        <f t="shared" si="144"/>
        <v>0.85</v>
      </c>
      <c r="AA503" s="183">
        <f t="shared" si="145"/>
        <v>0</v>
      </c>
      <c r="AB503" s="187">
        <f t="shared" si="146"/>
        <v>0</v>
      </c>
      <c r="AC503" s="183">
        <f t="shared" si="147"/>
        <v>0</v>
      </c>
      <c r="AD503" s="188">
        <f t="shared" si="148"/>
        <v>0.44791666666424135</v>
      </c>
      <c r="AE503" s="188">
        <f t="shared" si="149"/>
        <v>0.44791666666424135</v>
      </c>
      <c r="AF503" s="188">
        <f t="shared" si="150"/>
        <v>0</v>
      </c>
      <c r="AG503" s="188">
        <f t="shared" si="151"/>
        <v>0</v>
      </c>
    </row>
    <row r="504" spans="2:33" ht="15" customHeight="1" x14ac:dyDescent="0.15">
      <c r="B504" s="174" t="s">
        <v>5</v>
      </c>
      <c r="C504" s="175" t="s">
        <v>13</v>
      </c>
      <c r="D504" s="176" t="str">
        <f t="shared" si="133"/>
        <v>C</v>
      </c>
      <c r="E504" s="177" t="d">
        <v>2021-05-10T16:44:59.99999979045242400</v>
      </c>
      <c r="F504" s="178" t="s">
        <v>81</v>
      </c>
      <c r="G504" s="179">
        <v>13563.16</v>
      </c>
      <c r="H504" s="179">
        <v>13630.19</v>
      </c>
      <c r="I504" s="180">
        <f t="shared" si="134"/>
        <v>67.030000000000655</v>
      </c>
      <c r="J504" s="179">
        <v>13160.99</v>
      </c>
      <c r="K504" s="177" t="d">
        <v>2021-05-11T08:39:00.00000029336660775</v>
      </c>
      <c r="L504" s="179">
        <v>13270.23</v>
      </c>
      <c r="M504" s="181">
        <f t="shared" si="135"/>
        <v>292.93</v>
      </c>
      <c r="N504" s="182">
        <f t="shared" si="136"/>
        <v>4.37</v>
      </c>
      <c r="O504" s="183">
        <f t="shared" si="137"/>
        <v>0</v>
      </c>
      <c r="P504" s="184">
        <f t="shared" si="138"/>
        <v>4.37</v>
      </c>
      <c r="Q504" s="184">
        <f t="shared" si="139"/>
        <v>0</v>
      </c>
      <c r="R50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37892.5</v>
      </c>
      <c r="T50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37892.5</v>
      </c>
      <c r="U504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504" s="187">
        <f t="shared" si="140"/>
        <v>0</v>
      </c>
      <c r="W504" s="187">
        <f t="shared" si="141"/>
        <v>0</v>
      </c>
      <c r="X504" s="187">
        <f t="shared" si="142"/>
        <v>0</v>
      </c>
      <c r="Y504" s="187">
        <f t="shared" si="143"/>
        <v>0</v>
      </c>
      <c r="Z504" s="187">
        <f t="shared" si="144"/>
        <v>4.37</v>
      </c>
      <c r="AA504" s="183">
        <f t="shared" si="145"/>
        <v>0</v>
      </c>
      <c r="AB504" s="187">
        <f t="shared" si="146"/>
        <v>0</v>
      </c>
      <c r="AC504" s="183">
        <f t="shared" si="147"/>
        <v>0</v>
      </c>
      <c r="AD504" s="188">
        <f t="shared" si="148"/>
        <v>0.66250000000582077</v>
      </c>
      <c r="AE504" s="188">
        <f t="shared" si="149"/>
        <v>0.66250000000582077</v>
      </c>
      <c r="AF504" s="188">
        <f t="shared" si="150"/>
        <v>0</v>
      </c>
      <c r="AG504" s="188">
        <f t="shared" si="151"/>
        <v>0</v>
      </c>
    </row>
    <row r="505" spans="2:33" ht="15" customHeight="1" x14ac:dyDescent="0.15">
      <c r="B505" s="174" t="s">
        <v>5</v>
      </c>
      <c r="C505" s="175" t="s">
        <v>15</v>
      </c>
      <c r="D505" s="176" t="str">
        <f t="shared" si="133"/>
        <v>C</v>
      </c>
      <c r="E505" s="177" t="d">
        <v>2021-05-06T22:44:59.99999979045242400</v>
      </c>
      <c r="F505" s="178" t="s">
        <v>82</v>
      </c>
      <c r="G505" s="179">
        <v>4190.25</v>
      </c>
      <c r="H505" s="179">
        <v>4173.29</v>
      </c>
      <c r="I505" s="180">
        <f t="shared" si="134"/>
        <v>16.960000000000036</v>
      </c>
      <c r="J505" s="179">
        <v>4300.4799999999996</v>
      </c>
      <c r="K505" s="177" t="d">
        <v>2021-05-10T16:38:59.99999987427145575</v>
      </c>
      <c r="L505" s="179">
        <v>4228.2700000000004</v>
      </c>
      <c r="M505" s="181">
        <f t="shared" si="135"/>
        <v>38.020000000000003</v>
      </c>
      <c r="N505" s="182">
        <f t="shared" si="136"/>
        <v>2.2400000000000002</v>
      </c>
      <c r="O505" s="183">
        <f t="shared" si="137"/>
        <v>0</v>
      </c>
      <c r="P505" s="184">
        <f t="shared" si="138"/>
        <v>2.2400000000000002</v>
      </c>
      <c r="Q505" s="184">
        <f t="shared" si="139"/>
        <v>0</v>
      </c>
      <c r="R50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36800</v>
      </c>
      <c r="T50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36800</v>
      </c>
      <c r="U505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505" s="187">
        <f t="shared" si="140"/>
        <v>0</v>
      </c>
      <c r="W505" s="187">
        <f t="shared" si="141"/>
        <v>0</v>
      </c>
      <c r="X505" s="187">
        <f t="shared" si="142"/>
        <v>0</v>
      </c>
      <c r="Y505" s="187">
        <f t="shared" si="143"/>
        <v>0</v>
      </c>
      <c r="Z505" s="187">
        <f t="shared" si="144"/>
        <v>2.2400000000000002</v>
      </c>
      <c r="AA505" s="183">
        <f t="shared" si="145"/>
        <v>0</v>
      </c>
      <c r="AB505" s="187">
        <f t="shared" si="146"/>
        <v>0</v>
      </c>
      <c r="AC505" s="183">
        <f t="shared" si="147"/>
        <v>0</v>
      </c>
      <c r="AD505" s="188">
        <f t="shared" si="148"/>
        <v>3.7458333333343035</v>
      </c>
      <c r="AE505" s="188">
        <f t="shared" si="149"/>
        <v>3.7458333333343035</v>
      </c>
      <c r="AF505" s="188">
        <f t="shared" si="150"/>
        <v>0</v>
      </c>
      <c r="AG505" s="188">
        <f t="shared" si="151"/>
        <v>0</v>
      </c>
    </row>
    <row r="506" spans="2:33" ht="15" customHeight="1" x14ac:dyDescent="0.15">
      <c r="B506" s="174" t="s">
        <v>7</v>
      </c>
      <c r="C506" s="175" t="s">
        <v>15</v>
      </c>
      <c r="D506" s="176" t="str">
        <f t="shared" si="133"/>
        <v>C</v>
      </c>
      <c r="E506" s="177" t="d">
        <v>2021-05-10T01:44:59.99999979045242400</v>
      </c>
      <c r="F506" s="178" t="s">
        <v>102</v>
      </c>
      <c r="G506" s="179">
        <v>152.27699999999999</v>
      </c>
      <c r="H506" s="179">
        <v>151.99</v>
      </c>
      <c r="I506" s="180">
        <f t="shared" si="134"/>
        <v>0.28699999999997772</v>
      </c>
      <c r="J506" s="179">
        <v>153.81</v>
      </c>
      <c r="K506" s="177" t="d">
        <v>2021-05-10T15:53:59.99999987427145575</v>
      </c>
      <c r="L506" s="179">
        <v>153.81</v>
      </c>
      <c r="M506" s="181">
        <f t="shared" si="135"/>
        <v>1.5329999999999999</v>
      </c>
      <c r="N506" s="182">
        <f t="shared" si="136"/>
        <v>5.34</v>
      </c>
      <c r="O506" s="183">
        <f t="shared" si="137"/>
        <v>0</v>
      </c>
      <c r="P506" s="184">
        <f t="shared" si="138"/>
        <v>5.34</v>
      </c>
      <c r="Q506" s="184">
        <f t="shared" si="139"/>
        <v>0</v>
      </c>
      <c r="R50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36240</v>
      </c>
      <c r="T50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36240</v>
      </c>
      <c r="U506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506" s="187">
        <f t="shared" si="140"/>
        <v>5.34</v>
      </c>
      <c r="W506" s="187">
        <f t="shared" si="141"/>
        <v>0</v>
      </c>
      <c r="X506" s="187">
        <f t="shared" si="142"/>
        <v>0</v>
      </c>
      <c r="Y506" s="187">
        <f t="shared" si="143"/>
        <v>0</v>
      </c>
      <c r="Z506" s="187">
        <f t="shared" si="144"/>
        <v>0</v>
      </c>
      <c r="AA506" s="183">
        <f t="shared" si="145"/>
        <v>0</v>
      </c>
      <c r="AB506" s="187">
        <f t="shared" si="146"/>
        <v>0</v>
      </c>
      <c r="AC506" s="183">
        <f t="shared" si="147"/>
        <v>0</v>
      </c>
      <c r="AD506" s="188">
        <f t="shared" si="148"/>
        <v>0.58958333333430346</v>
      </c>
      <c r="AE506" s="188">
        <f t="shared" si="149"/>
        <v>0.58958333333430346</v>
      </c>
      <c r="AF506" s="188">
        <f t="shared" si="150"/>
        <v>0</v>
      </c>
      <c r="AG506" s="188">
        <f t="shared" si="151"/>
        <v>0</v>
      </c>
    </row>
    <row r="507" spans="2:33" ht="15" customHeight="1" x14ac:dyDescent="0.15">
      <c r="B507" s="174" t="s">
        <v>5</v>
      </c>
      <c r="C507" s="175" t="s">
        <v>15</v>
      </c>
      <c r="D507" s="176" t="str">
        <f t="shared" si="133"/>
        <v>C</v>
      </c>
      <c r="E507" s="177" t="d">
        <v>2021-05-07T09:59:59.99999979045242400</v>
      </c>
      <c r="F507" s="178" t="s">
        <v>80</v>
      </c>
      <c r="G507" s="179">
        <v>15320.79</v>
      </c>
      <c r="H507" s="179">
        <v>15261.54</v>
      </c>
      <c r="I507" s="180">
        <f t="shared" si="134"/>
        <v>59.25</v>
      </c>
      <c r="J507" s="179">
        <v>15755.27</v>
      </c>
      <c r="K507" s="177" t="d">
        <v>2021-05-10T12:39:00.00000008381903175</v>
      </c>
      <c r="L507" s="179">
        <v>15351.33</v>
      </c>
      <c r="M507" s="181">
        <f t="shared" si="135"/>
        <v>30.54</v>
      </c>
      <c r="N507" s="182">
        <f t="shared" si="136"/>
        <v>0.52</v>
      </c>
      <c r="O507" s="183">
        <f t="shared" si="137"/>
        <v>0</v>
      </c>
      <c r="P507" s="184">
        <f t="shared" si="138"/>
        <v>0.52</v>
      </c>
      <c r="Q507" s="184">
        <f t="shared" si="139"/>
        <v>0</v>
      </c>
      <c r="R50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34905</v>
      </c>
      <c r="T50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35410</v>
      </c>
      <c r="U507" s="186">
        <f ca="1">IF(Tabla33610673[[#This Row],[Equity]]&lt;Tabla33610673[[#This Row],[Equity Peak]],(Tabla33610673[[#This Row],[Equity Peak]]-Tabla33610673[[#This Row],[Equity]])/Tabla33610673[[#This Row],[Equity Peak]],"")</f>
        <v>1.4261508048573849E-2</v>
      </c>
      <c r="V507" s="187">
        <f t="shared" si="140"/>
        <v>0</v>
      </c>
      <c r="W507" s="187">
        <f t="shared" si="141"/>
        <v>0</v>
      </c>
      <c r="X507" s="187">
        <f t="shared" si="142"/>
        <v>0</v>
      </c>
      <c r="Y507" s="187">
        <f t="shared" si="143"/>
        <v>0</v>
      </c>
      <c r="Z507" s="187">
        <f t="shared" si="144"/>
        <v>0.52</v>
      </c>
      <c r="AA507" s="183">
        <f t="shared" si="145"/>
        <v>0</v>
      </c>
      <c r="AB507" s="187">
        <f t="shared" si="146"/>
        <v>0</v>
      </c>
      <c r="AC507" s="183">
        <f t="shared" si="147"/>
        <v>0</v>
      </c>
      <c r="AD507" s="188">
        <f t="shared" si="148"/>
        <v>3.1104166666700621</v>
      </c>
      <c r="AE507" s="188">
        <f t="shared" si="149"/>
        <v>3.1104166666700621</v>
      </c>
      <c r="AF507" s="188">
        <f t="shared" si="150"/>
        <v>0</v>
      </c>
      <c r="AG507" s="188">
        <f t="shared" si="151"/>
        <v>0</v>
      </c>
    </row>
    <row r="508" spans="2:33" ht="15" customHeight="1" x14ac:dyDescent="0.15">
      <c r="B508" s="174" t="s">
        <v>5</v>
      </c>
      <c r="C508" s="175" t="s">
        <v>15</v>
      </c>
      <c r="D508" s="176" t="str">
        <f t="shared" si="133"/>
        <v>C</v>
      </c>
      <c r="E508" s="177" t="d">
        <v>2021-05-07T15:45:00.000</v>
      </c>
      <c r="F508" s="178" t="s">
        <v>81</v>
      </c>
      <c r="G508" s="179">
        <v>13816.01</v>
      </c>
      <c r="H508" s="179">
        <v>13747.84</v>
      </c>
      <c r="I508" s="180">
        <f t="shared" si="134"/>
        <v>68.170000000000073</v>
      </c>
      <c r="J508" s="179">
        <v>14225</v>
      </c>
      <c r="K508" s="177" t="d">
        <v>2021-05-07T16:09:00.00000029336660775</v>
      </c>
      <c r="L508" s="179">
        <v>13747.84</v>
      </c>
      <c r="M508" s="181">
        <f t="shared" si="135"/>
        <v>-68.17</v>
      </c>
      <c r="N508" s="182">
        <f t="shared" si="136"/>
        <v>-1</v>
      </c>
      <c r="O508" s="183">
        <f t="shared" si="137"/>
        <v>0</v>
      </c>
      <c r="P508" s="184">
        <f t="shared" si="138"/>
        <v>0</v>
      </c>
      <c r="Q508" s="184">
        <f t="shared" si="139"/>
        <v>-1</v>
      </c>
      <c r="R50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34775</v>
      </c>
      <c r="T50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35410</v>
      </c>
      <c r="U508" s="186">
        <f ca="1">IF(Tabla33610673[[#This Row],[Equity]]&lt;Tabla33610673[[#This Row],[Equity Peak]],(Tabla33610673[[#This Row],[Equity Peak]]-Tabla33610673[[#This Row],[Equity]])/Tabla33610673[[#This Row],[Equity Peak]],"")</f>
        <v>1.7932787348206723E-2</v>
      </c>
      <c r="V508" s="187">
        <f t="shared" si="140"/>
        <v>0</v>
      </c>
      <c r="W508" s="187">
        <f t="shared" si="141"/>
        <v>0</v>
      </c>
      <c r="X508" s="187">
        <f t="shared" si="142"/>
        <v>0</v>
      </c>
      <c r="Y508" s="187">
        <f t="shared" si="143"/>
        <v>0</v>
      </c>
      <c r="Z508" s="187">
        <f t="shared" si="144"/>
        <v>-1</v>
      </c>
      <c r="AA508" s="183">
        <f t="shared" si="145"/>
        <v>0</v>
      </c>
      <c r="AB508" s="187">
        <f t="shared" si="146"/>
        <v>0</v>
      </c>
      <c r="AC508" s="183">
        <f t="shared" si="147"/>
        <v>0</v>
      </c>
      <c r="AD508" s="188">
        <f t="shared" si="148"/>
        <v>1.6666666670062114E-2</v>
      </c>
      <c r="AE508" s="188">
        <f t="shared" si="149"/>
        <v>0</v>
      </c>
      <c r="AF508" s="188">
        <f t="shared" si="150"/>
        <v>1.6666666670062114E-2</v>
      </c>
      <c r="AG508" s="188">
        <f t="shared" si="151"/>
        <v>0</v>
      </c>
    </row>
    <row r="509" spans="2:33" ht="15" customHeight="1" x14ac:dyDescent="0.15">
      <c r="B509" s="174" t="s">
        <v>5</v>
      </c>
      <c r="C509" s="175" t="s">
        <v>15</v>
      </c>
      <c r="D509" s="176" t="str">
        <f t="shared" si="133"/>
        <v>C</v>
      </c>
      <c r="E509" s="177" t="d">
        <v>2021-05-06T18:45:00.000</v>
      </c>
      <c r="F509" s="178" t="s">
        <v>82</v>
      </c>
      <c r="G509" s="179">
        <v>4184</v>
      </c>
      <c r="H509" s="179">
        <v>4167.82</v>
      </c>
      <c r="I509" s="180">
        <f t="shared" si="134"/>
        <v>16.180000000000291</v>
      </c>
      <c r="J509" s="179">
        <v>4289.2</v>
      </c>
      <c r="K509" s="177" t="d">
        <v>2021-05-06T21:01:00.00000019557774075</v>
      </c>
      <c r="L509" s="179">
        <v>4170.28</v>
      </c>
      <c r="M509" s="181">
        <f t="shared" si="135"/>
        <v>-13.72</v>
      </c>
      <c r="N509" s="182">
        <f t="shared" si="136"/>
        <v>-0.85</v>
      </c>
      <c r="O509" s="183">
        <f t="shared" si="137"/>
        <v>0</v>
      </c>
      <c r="P509" s="184">
        <f t="shared" si="138"/>
        <v>0</v>
      </c>
      <c r="Q509" s="184">
        <f t="shared" si="139"/>
        <v>-0.85</v>
      </c>
      <c r="R50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35025</v>
      </c>
      <c r="T50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35410</v>
      </c>
      <c r="U509" s="186">
        <f ca="1">IF(Tabla33610673[[#This Row],[Equity]]&lt;Tabla33610673[[#This Row],[Equity Peak]],(Tabla33610673[[#This Row],[Equity Peak]]-Tabla33610673[[#This Row],[Equity]])/Tabla33610673[[#This Row],[Equity Peak]],"")</f>
        <v>1.0872634848912736E-2</v>
      </c>
      <c r="V509" s="187">
        <f t="shared" si="140"/>
        <v>0</v>
      </c>
      <c r="W509" s="187">
        <f t="shared" si="141"/>
        <v>0</v>
      </c>
      <c r="X509" s="187">
        <f t="shared" si="142"/>
        <v>0</v>
      </c>
      <c r="Y509" s="187">
        <f t="shared" si="143"/>
        <v>0</v>
      </c>
      <c r="Z509" s="187">
        <f t="shared" si="144"/>
        <v>-0.85</v>
      </c>
      <c r="AA509" s="183">
        <f t="shared" si="145"/>
        <v>0</v>
      </c>
      <c r="AB509" s="187">
        <f t="shared" si="146"/>
        <v>0</v>
      </c>
      <c r="AC509" s="183">
        <f t="shared" si="147"/>
        <v>0</v>
      </c>
      <c r="AD509" s="188">
        <f t="shared" si="148"/>
        <v>9.4444444446708076E-2</v>
      </c>
      <c r="AE509" s="188">
        <f t="shared" si="149"/>
        <v>0</v>
      </c>
      <c r="AF509" s="188">
        <f t="shared" si="150"/>
        <v>9.4444444446708076E-2</v>
      </c>
      <c r="AG509" s="188">
        <f t="shared" si="151"/>
        <v>0</v>
      </c>
    </row>
    <row r="510" spans="2:33" ht="15" customHeight="1" x14ac:dyDescent="0.15">
      <c r="B510" s="174" t="s">
        <v>5</v>
      </c>
      <c r="C510" s="175" t="s">
        <v>13</v>
      </c>
      <c r="D510" s="176" t="str">
        <f t="shared" si="133"/>
        <v>C</v>
      </c>
      <c r="E510" s="177" t="d">
        <v>2021-05-06T17:00:00.00000020954757600</v>
      </c>
      <c r="F510" s="178" t="s">
        <v>82</v>
      </c>
      <c r="G510" s="179">
        <v>4159.53</v>
      </c>
      <c r="H510" s="179">
        <v>4175.1899999999996</v>
      </c>
      <c r="I510" s="180">
        <f t="shared" si="134"/>
        <v>15.659999999999854</v>
      </c>
      <c r="J510" s="179">
        <v>4057.76</v>
      </c>
      <c r="K510" s="177" t="d">
        <v>2021-05-06T18:24:00.00000029336660775</v>
      </c>
      <c r="L510" s="179">
        <v>4170.34</v>
      </c>
      <c r="M510" s="181">
        <f t="shared" si="135"/>
        <v>-10.81</v>
      </c>
      <c r="N510" s="182">
        <f t="shared" si="136"/>
        <v>-0.69</v>
      </c>
      <c r="O510" s="183">
        <f t="shared" si="137"/>
        <v>0</v>
      </c>
      <c r="P510" s="184">
        <f t="shared" si="138"/>
        <v>0</v>
      </c>
      <c r="Q510" s="184">
        <f t="shared" si="139"/>
        <v>-0.69</v>
      </c>
      <c r="R51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35237.5</v>
      </c>
      <c r="T51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35410</v>
      </c>
      <c r="U510" s="186">
        <f ca="1">IF(Tabla33610673[[#This Row],[Equity]]&lt;Tabla33610673[[#This Row],[Equity Peak]],(Tabla33610673[[#This Row],[Equity Peak]]-Tabla33610673[[#This Row],[Equity]])/Tabla33610673[[#This Row],[Equity Peak]],"")</f>
        <v>4.8715052245128492E-3</v>
      </c>
      <c r="V510" s="187">
        <f t="shared" si="140"/>
        <v>0</v>
      </c>
      <c r="W510" s="187">
        <f t="shared" si="141"/>
        <v>0</v>
      </c>
      <c r="X510" s="187">
        <f t="shared" si="142"/>
        <v>0</v>
      </c>
      <c r="Y510" s="187">
        <f t="shared" si="143"/>
        <v>0</v>
      </c>
      <c r="Z510" s="187">
        <f t="shared" si="144"/>
        <v>-0.69</v>
      </c>
      <c r="AA510" s="183">
        <f t="shared" si="145"/>
        <v>0</v>
      </c>
      <c r="AB510" s="187">
        <f t="shared" si="146"/>
        <v>0</v>
      </c>
      <c r="AC510" s="183">
        <f t="shared" si="147"/>
        <v>0</v>
      </c>
      <c r="AD510" s="188">
        <f t="shared" si="148"/>
        <v>5.8333333334303461E-2</v>
      </c>
      <c r="AE510" s="188">
        <f t="shared" si="149"/>
        <v>0</v>
      </c>
      <c r="AF510" s="188">
        <f t="shared" si="150"/>
        <v>5.8333333334303461E-2</v>
      </c>
      <c r="AG510" s="188">
        <f t="shared" si="151"/>
        <v>0</v>
      </c>
    </row>
    <row r="511" spans="2:33" ht="15" customHeight="1" x14ac:dyDescent="0.15">
      <c r="B511" s="174" t="s">
        <v>19</v>
      </c>
      <c r="C511" s="175" t="s">
        <v>15</v>
      </c>
      <c r="D511" s="176" t="str">
        <f t="shared" si="133"/>
        <v>C</v>
      </c>
      <c r="E511" s="177" t="d">
        <v>2021-05-05T23:00:00.00000020954757600</v>
      </c>
      <c r="F511" s="178" t="s">
        <v>77</v>
      </c>
      <c r="G511" s="179">
        <v>1786.26</v>
      </c>
      <c r="H511" s="179">
        <v>1781.15</v>
      </c>
      <c r="I511" s="180">
        <f t="shared" si="134"/>
        <v>5.1099999999999</v>
      </c>
      <c r="J511" s="179">
        <v>1810.79</v>
      </c>
      <c r="K511" s="177" t="d">
        <v>2021-05-06T16:51:59.99999990221113300</v>
      </c>
      <c r="L511" s="179">
        <v>1810.79</v>
      </c>
      <c r="M511" s="181">
        <f t="shared" si="135"/>
        <v>24.53</v>
      </c>
      <c r="N511" s="182">
        <f t="shared" si="136"/>
        <v>4.8</v>
      </c>
      <c r="O511" s="183">
        <f t="shared" si="137"/>
        <v>0</v>
      </c>
      <c r="P511" s="184">
        <f t="shared" si="138"/>
        <v>4.8</v>
      </c>
      <c r="Q511" s="184">
        <f t="shared" si="139"/>
        <v>0</v>
      </c>
      <c r="R51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35410</v>
      </c>
      <c r="T51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35410</v>
      </c>
      <c r="U511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511" s="187">
        <f t="shared" si="140"/>
        <v>0</v>
      </c>
      <c r="W511" s="187">
        <f t="shared" si="141"/>
        <v>0</v>
      </c>
      <c r="X511" s="187">
        <f t="shared" si="142"/>
        <v>4.8</v>
      </c>
      <c r="Y511" s="187">
        <f t="shared" si="143"/>
        <v>0</v>
      </c>
      <c r="Z511" s="187">
        <f t="shared" si="144"/>
        <v>0</v>
      </c>
      <c r="AA511" s="183">
        <f t="shared" si="145"/>
        <v>0</v>
      </c>
      <c r="AB511" s="187">
        <f t="shared" si="146"/>
        <v>0</v>
      </c>
      <c r="AC511" s="183">
        <f t="shared" si="147"/>
        <v>0</v>
      </c>
      <c r="AD511" s="188">
        <f t="shared" si="148"/>
        <v>0.74444444444088731</v>
      </c>
      <c r="AE511" s="188">
        <f t="shared" si="149"/>
        <v>0.74444444444088731</v>
      </c>
      <c r="AF511" s="188">
        <f t="shared" si="150"/>
        <v>0</v>
      </c>
      <c r="AG511" s="188">
        <f t="shared" si="151"/>
        <v>0</v>
      </c>
    </row>
    <row r="512" spans="2:33" ht="15" customHeight="1" x14ac:dyDescent="0.15">
      <c r="B512" s="174" t="s">
        <v>5</v>
      </c>
      <c r="C512" s="175" t="s">
        <v>15</v>
      </c>
      <c r="D512" s="176" t="str">
        <f t="shared" si="133"/>
        <v>C</v>
      </c>
      <c r="E512" s="177" t="d">
        <v>2021-05-05T18:59:59.99999979045242400</v>
      </c>
      <c r="F512" s="178" t="s">
        <v>82</v>
      </c>
      <c r="G512" s="179">
        <v>4188.82</v>
      </c>
      <c r="H512" s="179">
        <v>4173.5600000000004</v>
      </c>
      <c r="I512" s="180">
        <f t="shared" si="134"/>
        <v>15.259999999999309</v>
      </c>
      <c r="J512" s="179">
        <v>4288.03</v>
      </c>
      <c r="K512" s="177" t="d">
        <v>2021-05-05T22:09:00.00000029336660775</v>
      </c>
      <c r="L512" s="179">
        <v>4173.5600000000004</v>
      </c>
      <c r="M512" s="181">
        <f t="shared" si="135"/>
        <v>-15.26</v>
      </c>
      <c r="N512" s="182">
        <f t="shared" si="136"/>
        <v>-1</v>
      </c>
      <c r="O512" s="183">
        <f t="shared" si="137"/>
        <v>0</v>
      </c>
      <c r="P512" s="184">
        <f t="shared" si="138"/>
        <v>0</v>
      </c>
      <c r="Q512" s="184">
        <f t="shared" si="139"/>
        <v>-1</v>
      </c>
      <c r="R51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34210</v>
      </c>
      <c r="T51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34710</v>
      </c>
      <c r="U512" s="186">
        <f ca="1">IF(Tabla33610673[[#This Row],[Equity]]&lt;Tabla33610673[[#This Row],[Equity Peak]],(Tabla33610673[[#This Row],[Equity Peak]]-Tabla33610673[[#This Row],[Equity]])/Tabla33610673[[#This Row],[Equity Peak]],"")</f>
        <v>1.4405070584845865E-2</v>
      </c>
      <c r="V512" s="187">
        <f t="shared" si="140"/>
        <v>0</v>
      </c>
      <c r="W512" s="187">
        <f t="shared" si="141"/>
        <v>0</v>
      </c>
      <c r="X512" s="187">
        <f t="shared" si="142"/>
        <v>0</v>
      </c>
      <c r="Y512" s="187">
        <f t="shared" si="143"/>
        <v>0</v>
      </c>
      <c r="Z512" s="187">
        <f t="shared" si="144"/>
        <v>-1</v>
      </c>
      <c r="AA512" s="183">
        <f t="shared" si="145"/>
        <v>0</v>
      </c>
      <c r="AB512" s="187">
        <f t="shared" si="146"/>
        <v>0</v>
      </c>
      <c r="AC512" s="183">
        <f t="shared" si="147"/>
        <v>0</v>
      </c>
      <c r="AD512" s="188">
        <f t="shared" si="148"/>
        <v>0.13125000000582077</v>
      </c>
      <c r="AE512" s="188">
        <f t="shared" si="149"/>
        <v>0</v>
      </c>
      <c r="AF512" s="188">
        <f t="shared" si="150"/>
        <v>0.13125000000582077</v>
      </c>
      <c r="AG512" s="188">
        <f t="shared" si="151"/>
        <v>0</v>
      </c>
    </row>
    <row r="513" spans="2:33" ht="15" customHeight="1" x14ac:dyDescent="0.15">
      <c r="B513" s="174" t="s">
        <v>7</v>
      </c>
      <c r="C513" s="175" t="s">
        <v>15</v>
      </c>
      <c r="D513" s="176" t="str">
        <f t="shared" si="133"/>
        <v>C</v>
      </c>
      <c r="E513" s="177" t="d">
        <v>2021-05-05T09:59:59.99999979045242400</v>
      </c>
      <c r="F513" s="178" t="s">
        <v>102</v>
      </c>
      <c r="G513" s="179">
        <v>152.19900000000001</v>
      </c>
      <c r="H513" s="179">
        <v>151.92099999999999</v>
      </c>
      <c r="I513" s="180">
        <f t="shared" si="134"/>
        <v>0.27800000000002001</v>
      </c>
      <c r="J513" s="179">
        <v>153.68</v>
      </c>
      <c r="K513" s="177" t="d">
        <v>2021-05-05T10:54:00.00000029336660775</v>
      </c>
      <c r="L513" s="179">
        <v>151.92099999999999</v>
      </c>
      <c r="M513" s="181">
        <f t="shared" si="135"/>
        <v>-0.27800000000000002</v>
      </c>
      <c r="N513" s="182">
        <f t="shared" si="136"/>
        <v>-1</v>
      </c>
      <c r="O513" s="183">
        <f t="shared" si="137"/>
        <v>0</v>
      </c>
      <c r="P513" s="184">
        <f t="shared" si="138"/>
        <v>0</v>
      </c>
      <c r="Q513" s="184">
        <f t="shared" si="139"/>
        <v>-1</v>
      </c>
      <c r="R51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34460</v>
      </c>
      <c r="T51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34710</v>
      </c>
      <c r="U513" s="186">
        <f ca="1">IF(Tabla33610673[[#This Row],[Equity]]&lt;Tabla33610673[[#This Row],[Equity Peak]],(Tabla33610673[[#This Row],[Equity Peak]]-Tabla33610673[[#This Row],[Equity]])/Tabla33610673[[#This Row],[Equity Peak]],"")</f>
        <v>7.2025352924229326E-3</v>
      </c>
      <c r="V513" s="187">
        <f t="shared" si="140"/>
        <v>-1</v>
      </c>
      <c r="W513" s="187">
        <f t="shared" si="141"/>
        <v>0</v>
      </c>
      <c r="X513" s="187">
        <f t="shared" si="142"/>
        <v>0</v>
      </c>
      <c r="Y513" s="187">
        <f t="shared" si="143"/>
        <v>0</v>
      </c>
      <c r="Z513" s="187">
        <f t="shared" si="144"/>
        <v>0</v>
      </c>
      <c r="AA513" s="183">
        <f t="shared" si="145"/>
        <v>0</v>
      </c>
      <c r="AB513" s="187">
        <f t="shared" si="146"/>
        <v>0</v>
      </c>
      <c r="AC513" s="183">
        <f t="shared" si="147"/>
        <v>0</v>
      </c>
      <c r="AD513" s="188">
        <f t="shared" si="148"/>
        <v>3.7500000005820766E-2</v>
      </c>
      <c r="AE513" s="188">
        <f t="shared" si="149"/>
        <v>0</v>
      </c>
      <c r="AF513" s="188">
        <f t="shared" si="150"/>
        <v>3.7500000005820766E-2</v>
      </c>
      <c r="AG513" s="188">
        <f t="shared" si="151"/>
        <v>0</v>
      </c>
    </row>
    <row r="514" spans="2:33" ht="15" customHeight="1" x14ac:dyDescent="0.15">
      <c r="B514" s="174" t="s">
        <v>5</v>
      </c>
      <c r="C514" s="175" t="s">
        <v>13</v>
      </c>
      <c r="D514" s="176" t="str">
        <f t="shared" si="133"/>
        <v>C</v>
      </c>
      <c r="E514" s="177" t="d">
        <v>2021-05-04T15:14:59.99999979045242400</v>
      </c>
      <c r="F514" s="178" t="s">
        <v>80</v>
      </c>
      <c r="G514" s="179">
        <v>15025.8</v>
      </c>
      <c r="H514" s="179">
        <v>15084.78</v>
      </c>
      <c r="I514" s="180">
        <f t="shared" si="134"/>
        <v>58.980000000001382</v>
      </c>
      <c r="J514" s="179">
        <v>14593.29</v>
      </c>
      <c r="K514" s="177" t="d">
        <v>2021-05-05T03:49:00.00000015366822150</v>
      </c>
      <c r="L514" s="179">
        <v>14956.81</v>
      </c>
      <c r="M514" s="181">
        <f t="shared" si="135"/>
        <v>68.989999999999995</v>
      </c>
      <c r="N514" s="182">
        <f t="shared" si="136"/>
        <v>1.17</v>
      </c>
      <c r="O514" s="183">
        <f t="shared" si="137"/>
        <v>0</v>
      </c>
      <c r="P514" s="184">
        <f t="shared" si="138"/>
        <v>1.17</v>
      </c>
      <c r="Q514" s="184">
        <f t="shared" si="139"/>
        <v>0</v>
      </c>
      <c r="R51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34710</v>
      </c>
      <c r="T51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34710</v>
      </c>
      <c r="U514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514" s="187">
        <f t="shared" si="140"/>
        <v>0</v>
      </c>
      <c r="W514" s="187">
        <f t="shared" si="141"/>
        <v>0</v>
      </c>
      <c r="X514" s="187">
        <f t="shared" si="142"/>
        <v>0</v>
      </c>
      <c r="Y514" s="187">
        <f t="shared" si="143"/>
        <v>0</v>
      </c>
      <c r="Z514" s="187">
        <f t="shared" si="144"/>
        <v>1.17</v>
      </c>
      <c r="AA514" s="183">
        <f t="shared" si="145"/>
        <v>0</v>
      </c>
      <c r="AB514" s="187">
        <f t="shared" si="146"/>
        <v>0</v>
      </c>
      <c r="AC514" s="183">
        <f t="shared" si="147"/>
        <v>0</v>
      </c>
      <c r="AD514" s="188">
        <f t="shared" si="148"/>
        <v>0.523611111115315</v>
      </c>
      <c r="AE514" s="188">
        <f t="shared" si="149"/>
        <v>0.523611111115315</v>
      </c>
      <c r="AF514" s="188">
        <f t="shared" si="150"/>
        <v>0</v>
      </c>
      <c r="AG514" s="188">
        <f t="shared" si="151"/>
        <v>0</v>
      </c>
    </row>
    <row r="515" spans="2:33" ht="15" customHeight="1" x14ac:dyDescent="0.15">
      <c r="B515" s="174" t="s">
        <v>5</v>
      </c>
      <c r="C515" s="175" t="s">
        <v>13</v>
      </c>
      <c r="D515" s="176" t="str">
        <f t="shared" si="133"/>
        <v>C</v>
      </c>
      <c r="E515" s="177" t="d">
        <v>2021-05-04T03:14:59.99999979045242400</v>
      </c>
      <c r="F515" s="178" t="s">
        <v>82</v>
      </c>
      <c r="G515" s="179">
        <v>4187.17</v>
      </c>
      <c r="H515" s="179">
        <v>4200.54</v>
      </c>
      <c r="I515" s="180">
        <f t="shared" si="134"/>
        <v>13.369999999999891</v>
      </c>
      <c r="J515" s="179">
        <v>4100.29</v>
      </c>
      <c r="K515" s="177" t="d">
        <v>2021-05-04T20:09:00.00000008381903175</v>
      </c>
      <c r="L515" s="179">
        <v>4148.2</v>
      </c>
      <c r="M515" s="181">
        <f t="shared" si="135"/>
        <v>38.97</v>
      </c>
      <c r="N515" s="182">
        <f t="shared" si="136"/>
        <v>2.91</v>
      </c>
      <c r="O515" s="183">
        <f t="shared" si="137"/>
        <v>0</v>
      </c>
      <c r="P515" s="184">
        <f t="shared" si="138"/>
        <v>2.91</v>
      </c>
      <c r="Q515" s="184">
        <f t="shared" si="139"/>
        <v>0</v>
      </c>
      <c r="R51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34417.5</v>
      </c>
      <c r="T51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34417.5</v>
      </c>
      <c r="U515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515" s="187">
        <f t="shared" si="140"/>
        <v>0</v>
      </c>
      <c r="W515" s="187">
        <f t="shared" si="141"/>
        <v>0</v>
      </c>
      <c r="X515" s="187">
        <f t="shared" si="142"/>
        <v>0</v>
      </c>
      <c r="Y515" s="187">
        <f t="shared" si="143"/>
        <v>0</v>
      </c>
      <c r="Z515" s="187">
        <f t="shared" si="144"/>
        <v>2.91</v>
      </c>
      <c r="AA515" s="183">
        <f t="shared" si="145"/>
        <v>0</v>
      </c>
      <c r="AB515" s="187">
        <f t="shared" si="146"/>
        <v>0</v>
      </c>
      <c r="AC515" s="183">
        <f t="shared" si="147"/>
        <v>0</v>
      </c>
      <c r="AD515" s="188">
        <f t="shared" si="148"/>
        <v>0.70416666667006211</v>
      </c>
      <c r="AE515" s="188">
        <f t="shared" si="149"/>
        <v>0.70416666667006211</v>
      </c>
      <c r="AF515" s="188">
        <f t="shared" si="150"/>
        <v>0</v>
      </c>
      <c r="AG515" s="188">
        <f t="shared" si="151"/>
        <v>0</v>
      </c>
    </row>
    <row r="516" spans="2:33" ht="15" customHeight="1" x14ac:dyDescent="0.15">
      <c r="B516" s="174" t="s">
        <v>5</v>
      </c>
      <c r="C516" s="175" t="s">
        <v>13</v>
      </c>
      <c r="D516" s="176" t="str">
        <f t="shared" si="133"/>
        <v>C</v>
      </c>
      <c r="E516" s="177" t="d">
        <v>2021-05-03T18:30:00.00000020954757600</v>
      </c>
      <c r="F516" s="178" t="s">
        <v>81</v>
      </c>
      <c r="G516" s="179">
        <v>13797.62</v>
      </c>
      <c r="H516" s="179">
        <v>13856.01</v>
      </c>
      <c r="I516" s="180">
        <f t="shared" si="134"/>
        <v>58.389999999999418</v>
      </c>
      <c r="J516" s="179">
        <v>13447.28</v>
      </c>
      <c r="K516" s="177" t="d">
        <v>2021-05-04T18:14:59.99999979045242400</v>
      </c>
      <c r="L516" s="179">
        <v>13447.28</v>
      </c>
      <c r="M516" s="181">
        <f t="shared" si="135"/>
        <v>350.34</v>
      </c>
      <c r="N516" s="182">
        <f t="shared" si="136"/>
        <v>6</v>
      </c>
      <c r="O516" s="183">
        <f t="shared" si="137"/>
        <v>0</v>
      </c>
      <c r="P516" s="184">
        <f t="shared" si="138"/>
        <v>6</v>
      </c>
      <c r="Q516" s="184">
        <f t="shared" si="139"/>
        <v>0</v>
      </c>
      <c r="R51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33690</v>
      </c>
      <c r="T51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33690</v>
      </c>
      <c r="U516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516" s="187">
        <f t="shared" si="140"/>
        <v>0</v>
      </c>
      <c r="W516" s="187">
        <f t="shared" si="141"/>
        <v>0</v>
      </c>
      <c r="X516" s="187">
        <f t="shared" si="142"/>
        <v>0</v>
      </c>
      <c r="Y516" s="187">
        <f t="shared" si="143"/>
        <v>0</v>
      </c>
      <c r="Z516" s="187">
        <f t="shared" si="144"/>
        <v>6</v>
      </c>
      <c r="AA516" s="183">
        <f t="shared" si="145"/>
        <v>0</v>
      </c>
      <c r="AB516" s="187">
        <f t="shared" si="146"/>
        <v>0</v>
      </c>
      <c r="AC516" s="183">
        <f t="shared" si="147"/>
        <v>0</v>
      </c>
      <c r="AD516" s="188">
        <f t="shared" si="148"/>
        <v>0.98958333332848269</v>
      </c>
      <c r="AE516" s="188">
        <f t="shared" si="149"/>
        <v>0.98958333332848269</v>
      </c>
      <c r="AF516" s="188">
        <f t="shared" si="150"/>
        <v>0</v>
      </c>
      <c r="AG516" s="188">
        <f t="shared" si="151"/>
        <v>0</v>
      </c>
    </row>
    <row r="517" spans="2:33" ht="15" customHeight="1" x14ac:dyDescent="0.15">
      <c r="B517" s="174" t="s">
        <v>5</v>
      </c>
      <c r="C517" s="175" t="s">
        <v>15</v>
      </c>
      <c r="D517" s="176" t="str">
        <f t="shared" si="133"/>
        <v>C</v>
      </c>
      <c r="E517" s="177" t="d">
        <v>2021-05-03T17:00:00.00000020954757600</v>
      </c>
      <c r="F517" s="178" t="s">
        <v>82</v>
      </c>
      <c r="G517" s="179">
        <v>4207.9799999999996</v>
      </c>
      <c r="H517" s="179">
        <v>4195.2299999999996</v>
      </c>
      <c r="I517" s="180">
        <f t="shared" si="134"/>
        <v>12.75</v>
      </c>
      <c r="J517" s="179">
        <v>4290.84</v>
      </c>
      <c r="K517" s="177" t="d">
        <v>2021-05-03T18:24:00.00000029336660775</v>
      </c>
      <c r="L517" s="179">
        <v>4195.2299999999996</v>
      </c>
      <c r="M517" s="181">
        <f t="shared" si="135"/>
        <v>-12.75</v>
      </c>
      <c r="N517" s="182">
        <f t="shared" si="136"/>
        <v>-1</v>
      </c>
      <c r="O517" s="183">
        <f t="shared" si="137"/>
        <v>0</v>
      </c>
      <c r="P517" s="184">
        <f t="shared" si="138"/>
        <v>0</v>
      </c>
      <c r="Q517" s="184">
        <f t="shared" si="139"/>
        <v>-1</v>
      </c>
      <c r="R51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32190</v>
      </c>
      <c r="T51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17" s="186">
        <f ca="1">IF(Tabla33610673[[#This Row],[Equity]]&lt;Tabla33610673[[#This Row],[Equity Peak]],(Tabla33610673[[#This Row],[Equity Peak]]-Tabla33610673[[#This Row],[Equity]])/Tabla33610673[[#This Row],[Equity Peak]],"")</f>
        <v>1.4466130884041332E-2</v>
      </c>
      <c r="V517" s="187">
        <f t="shared" si="140"/>
        <v>0</v>
      </c>
      <c r="W517" s="187">
        <f t="shared" si="141"/>
        <v>0</v>
      </c>
      <c r="X517" s="187">
        <f t="shared" si="142"/>
        <v>0</v>
      </c>
      <c r="Y517" s="187">
        <f t="shared" si="143"/>
        <v>0</v>
      </c>
      <c r="Z517" s="187">
        <f t="shared" si="144"/>
        <v>-1</v>
      </c>
      <c r="AA517" s="183">
        <f t="shared" si="145"/>
        <v>0</v>
      </c>
      <c r="AB517" s="187">
        <f t="shared" si="146"/>
        <v>0</v>
      </c>
      <c r="AC517" s="183">
        <f t="shared" si="147"/>
        <v>0</v>
      </c>
      <c r="AD517" s="188">
        <f t="shared" si="148"/>
        <v>5.8333333334303461E-2</v>
      </c>
      <c r="AE517" s="188">
        <f t="shared" si="149"/>
        <v>0</v>
      </c>
      <c r="AF517" s="188">
        <f t="shared" si="150"/>
        <v>5.8333333334303461E-2</v>
      </c>
      <c r="AG517" s="188">
        <f t="shared" si="151"/>
        <v>0</v>
      </c>
    </row>
    <row r="518" spans="2:33" ht="15" customHeight="1" x14ac:dyDescent="0.15">
      <c r="B518" s="174" t="s">
        <v>19</v>
      </c>
      <c r="C518" s="175" t="s">
        <v>15</v>
      </c>
      <c r="D518" s="176" t="str">
        <f t="shared" si="133"/>
        <v>C</v>
      </c>
      <c r="E518" s="177" t="d">
        <v>2021-05-03T05:15:00.000</v>
      </c>
      <c r="F518" s="178" t="s">
        <v>77</v>
      </c>
      <c r="G518" s="179">
        <v>1772.78</v>
      </c>
      <c r="H518" s="179">
        <v>1768.02</v>
      </c>
      <c r="I518" s="180">
        <f t="shared" si="134"/>
        <v>4.7599999999999909</v>
      </c>
      <c r="J518" s="179">
        <v>1795.61</v>
      </c>
      <c r="K518" s="177" t="d">
        <v>2021-05-03T17:07:59.99999988824129100</v>
      </c>
      <c r="L518" s="179">
        <v>1795.61</v>
      </c>
      <c r="M518" s="181">
        <f t="shared" si="135"/>
        <v>22.83</v>
      </c>
      <c r="N518" s="182">
        <f t="shared" si="136"/>
        <v>4.8</v>
      </c>
      <c r="O518" s="183">
        <f t="shared" si="137"/>
        <v>0</v>
      </c>
      <c r="P518" s="184">
        <f t="shared" si="138"/>
        <v>4.8</v>
      </c>
      <c r="Q518" s="184">
        <f t="shared" si="139"/>
        <v>0</v>
      </c>
      <c r="R51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32440</v>
      </c>
      <c r="T51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18" s="186">
        <f ca="1">IF(Tabla33610673[[#This Row],[Equity]]&lt;Tabla33610673[[#This Row],[Equity Peak]],(Tabla33610673[[#This Row],[Equity Peak]]-Tabla33610673[[#This Row],[Equity]])/Tabla33610673[[#This Row],[Equity Peak]],"")</f>
        <v>6.8120933792575585E-3</v>
      </c>
      <c r="V518" s="187">
        <f t="shared" si="140"/>
        <v>0</v>
      </c>
      <c r="W518" s="187">
        <f t="shared" si="141"/>
        <v>0</v>
      </c>
      <c r="X518" s="187">
        <f t="shared" si="142"/>
        <v>4.8</v>
      </c>
      <c r="Y518" s="187">
        <f t="shared" si="143"/>
        <v>0</v>
      </c>
      <c r="Z518" s="187">
        <f t="shared" si="144"/>
        <v>0</v>
      </c>
      <c r="AA518" s="183">
        <f t="shared" si="145"/>
        <v>0</v>
      </c>
      <c r="AB518" s="187">
        <f t="shared" si="146"/>
        <v>0</v>
      </c>
      <c r="AC518" s="183">
        <f t="shared" si="147"/>
        <v>0</v>
      </c>
      <c r="AD518" s="188">
        <f t="shared" si="148"/>
        <v>0.49513888888759539</v>
      </c>
      <c r="AE518" s="188">
        <f t="shared" si="149"/>
        <v>0.49513888888759539</v>
      </c>
      <c r="AF518" s="188">
        <f t="shared" si="150"/>
        <v>0</v>
      </c>
      <c r="AG518" s="188">
        <f t="shared" si="151"/>
        <v>0</v>
      </c>
    </row>
    <row r="519" spans="2:33" ht="15" customHeight="1" x14ac:dyDescent="0.15">
      <c r="B519" s="174" t="s">
        <v>7</v>
      </c>
      <c r="C519" s="175" t="s">
        <v>15</v>
      </c>
      <c r="D519" s="176" t="str">
        <f t="shared" si="133"/>
        <v>C</v>
      </c>
      <c r="E519" s="177" t="d">
        <v>2021-04-30T18:00:00.000</v>
      </c>
      <c r="F519" s="178" t="s">
        <v>103</v>
      </c>
      <c r="G519" s="179">
        <v>109.28700000000001</v>
      </c>
      <c r="H519" s="179">
        <v>109.08799999999999</v>
      </c>
      <c r="I519" s="180">
        <f t="shared" si="134"/>
        <v>0.19900000000001228</v>
      </c>
      <c r="J519" s="179">
        <v>110.54</v>
      </c>
      <c r="K519" s="177" t="d">
        <v>2021-05-03T13:50:59.99999970663339225</v>
      </c>
      <c r="L519" s="179">
        <v>109.435</v>
      </c>
      <c r="M519" s="181">
        <f t="shared" si="135"/>
        <v>0.14799999999999999</v>
      </c>
      <c r="N519" s="182">
        <f t="shared" si="136"/>
        <v>0.74</v>
      </c>
      <c r="O519" s="183">
        <f t="shared" si="137"/>
        <v>0</v>
      </c>
      <c r="P519" s="184">
        <f t="shared" si="138"/>
        <v>0.74</v>
      </c>
      <c r="Q519" s="184">
        <f t="shared" si="139"/>
        <v>0</v>
      </c>
      <c r="R51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31240</v>
      </c>
      <c r="T51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19" s="186">
        <f ca="1">IF(Tabla33610673[[#This Row],[Equity]]&lt;Tabla33610673[[#This Row],[Equity Peak]],(Tabla33610673[[#This Row],[Equity Peak]]-Tabla33610673[[#This Row],[Equity]])/Tabla33610673[[#This Row],[Equity Peak]],"")</f>
        <v>4.3551473402219668E-2</v>
      </c>
      <c r="V519" s="187">
        <f t="shared" si="140"/>
        <v>0.74</v>
      </c>
      <c r="W519" s="187">
        <f t="shared" si="141"/>
        <v>0</v>
      </c>
      <c r="X519" s="187">
        <f t="shared" si="142"/>
        <v>0</v>
      </c>
      <c r="Y519" s="187">
        <f t="shared" si="143"/>
        <v>0</v>
      </c>
      <c r="Z519" s="187">
        <f t="shared" si="144"/>
        <v>0</v>
      </c>
      <c r="AA519" s="183">
        <f t="shared" si="145"/>
        <v>0</v>
      </c>
      <c r="AB519" s="187">
        <f t="shared" si="146"/>
        <v>0</v>
      </c>
      <c r="AC519" s="183">
        <f t="shared" si="147"/>
        <v>0</v>
      </c>
      <c r="AD519" s="188">
        <f t="shared" si="148"/>
        <v>2.8270833333299379</v>
      </c>
      <c r="AE519" s="188">
        <f t="shared" si="149"/>
        <v>2.8270833333299379</v>
      </c>
      <c r="AF519" s="188">
        <f t="shared" si="150"/>
        <v>0</v>
      </c>
      <c r="AG519" s="188">
        <f t="shared" si="151"/>
        <v>0</v>
      </c>
    </row>
    <row r="520" spans="2:33" ht="15" customHeight="1" x14ac:dyDescent="0.15">
      <c r="B520" s="174" t="s">
        <v>5</v>
      </c>
      <c r="C520" s="175" t="s">
        <v>15</v>
      </c>
      <c r="D520" s="176" t="str">
        <f t="shared" si="133"/>
        <v>C</v>
      </c>
      <c r="E520" s="177" t="d">
        <v>2021-05-03T10:30:00.000</v>
      </c>
      <c r="F520" s="178" t="s">
        <v>82</v>
      </c>
      <c r="G520" s="179">
        <v>4205.51</v>
      </c>
      <c r="H520" s="179">
        <v>4192.8900000000003</v>
      </c>
      <c r="I520" s="180">
        <f t="shared" si="134"/>
        <v>12.619999999999891</v>
      </c>
      <c r="J520" s="179">
        <v>4287.53</v>
      </c>
      <c r="K520" s="177" t="d">
        <v>2021-05-03T12:36:59.99999969266355025</v>
      </c>
      <c r="L520" s="179">
        <v>4192.8900000000003</v>
      </c>
      <c r="M520" s="181">
        <f t="shared" si="135"/>
        <v>-12.62</v>
      </c>
      <c r="N520" s="182">
        <f t="shared" si="136"/>
        <v>-1</v>
      </c>
      <c r="O520" s="183">
        <f t="shared" si="137"/>
        <v>0</v>
      </c>
      <c r="P520" s="184">
        <f t="shared" si="138"/>
        <v>0</v>
      </c>
      <c r="Q520" s="184">
        <f t="shared" si="139"/>
        <v>-1</v>
      </c>
      <c r="R52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31055</v>
      </c>
      <c r="T52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20" s="186">
        <f ca="1">IF(Tabla33610673[[#This Row],[Equity]]&lt;Tabla33610673[[#This Row],[Equity Peak]],(Tabla33610673[[#This Row],[Equity Peak]]-Tabla33610673[[#This Row],[Equity]])/Tabla33610673[[#This Row],[Equity Peak]],"")</f>
        <v>4.9215461155759664E-2</v>
      </c>
      <c r="V520" s="187">
        <f t="shared" si="140"/>
        <v>0</v>
      </c>
      <c r="W520" s="187">
        <f t="shared" si="141"/>
        <v>0</v>
      </c>
      <c r="X520" s="187">
        <f t="shared" si="142"/>
        <v>0</v>
      </c>
      <c r="Y520" s="187">
        <f t="shared" si="143"/>
        <v>0</v>
      </c>
      <c r="Z520" s="187">
        <f t="shared" si="144"/>
        <v>-1</v>
      </c>
      <c r="AA520" s="183">
        <f t="shared" si="145"/>
        <v>0</v>
      </c>
      <c r="AB520" s="187">
        <f t="shared" si="146"/>
        <v>0</v>
      </c>
      <c r="AC520" s="183">
        <f t="shared" si="147"/>
        <v>0</v>
      </c>
      <c r="AD520" s="188">
        <f t="shared" si="148"/>
        <v>8.819444444088731E-2</v>
      </c>
      <c r="AE520" s="188">
        <f t="shared" si="149"/>
        <v>0</v>
      </c>
      <c r="AF520" s="188">
        <f t="shared" si="150"/>
        <v>8.819444444088731E-2</v>
      </c>
      <c r="AG520" s="188">
        <f t="shared" si="151"/>
        <v>0</v>
      </c>
    </row>
    <row r="521" spans="2:33" ht="15" customHeight="1" x14ac:dyDescent="0.15">
      <c r="B521" s="174" t="s">
        <v>7</v>
      </c>
      <c r="C521" s="175" t="s">
        <v>13</v>
      </c>
      <c r="D521" s="176" t="str">
        <f t="shared" si="133"/>
        <v>C</v>
      </c>
      <c r="E521" s="177" t="d">
        <v>2021-05-03T00:24:59.99999986030161375</v>
      </c>
      <c r="F521" s="178" t="s">
        <v>102</v>
      </c>
      <c r="G521" s="179">
        <v>150.90799999999999</v>
      </c>
      <c r="H521" s="179">
        <v>151.209</v>
      </c>
      <c r="I521" s="180">
        <f t="shared" si="134"/>
        <v>0.30100000000001614</v>
      </c>
      <c r="J521" s="179">
        <v>149.30199999999999</v>
      </c>
      <c r="K521" s="177" t="d">
        <v>2021-05-03T03:18:59.99999994412064550</v>
      </c>
      <c r="L521" s="179">
        <v>151.19499999999999</v>
      </c>
      <c r="M521" s="181">
        <f t="shared" si="135"/>
        <v>-0.28699999999999998</v>
      </c>
      <c r="N521" s="182">
        <f t="shared" si="136"/>
        <v>-0.95</v>
      </c>
      <c r="O521" s="183">
        <f t="shared" si="137"/>
        <v>0</v>
      </c>
      <c r="P521" s="184">
        <f t="shared" si="138"/>
        <v>0</v>
      </c>
      <c r="Q521" s="184">
        <f t="shared" si="139"/>
        <v>-0.95</v>
      </c>
      <c r="R52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31305</v>
      </c>
      <c r="T52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21" s="186">
        <f ca="1">IF(Tabla33610673[[#This Row],[Equity]]&lt;Tabla33610673[[#This Row],[Equity Peak]],(Tabla33610673[[#This Row],[Equity Peak]]-Tabla33610673[[#This Row],[Equity]])/Tabla33610673[[#This Row],[Equity Peak]],"")</f>
        <v>4.1561423650975891E-2</v>
      </c>
      <c r="V521" s="187">
        <f t="shared" si="140"/>
        <v>-0.95</v>
      </c>
      <c r="W521" s="187">
        <f t="shared" si="141"/>
        <v>0</v>
      </c>
      <c r="X521" s="187">
        <f t="shared" si="142"/>
        <v>0</v>
      </c>
      <c r="Y521" s="187">
        <f t="shared" si="143"/>
        <v>0</v>
      </c>
      <c r="Z521" s="187">
        <f t="shared" si="144"/>
        <v>0</v>
      </c>
      <c r="AA521" s="183">
        <f t="shared" si="145"/>
        <v>0</v>
      </c>
      <c r="AB521" s="187">
        <f t="shared" si="146"/>
        <v>0</v>
      </c>
      <c r="AC521" s="183">
        <f t="shared" si="147"/>
        <v>0</v>
      </c>
      <c r="AD521" s="188">
        <f t="shared" si="148"/>
        <v>0.12083333333430346</v>
      </c>
      <c r="AE521" s="188">
        <f t="shared" si="149"/>
        <v>0</v>
      </c>
      <c r="AF521" s="188">
        <f t="shared" si="150"/>
        <v>0.12083333333430346</v>
      </c>
      <c r="AG521" s="188">
        <f t="shared" si="151"/>
        <v>0</v>
      </c>
    </row>
    <row r="522" spans="2:33" ht="15" customHeight="1" x14ac:dyDescent="0.15">
      <c r="B522" s="174" t="s">
        <v>5</v>
      </c>
      <c r="C522" s="175" t="s">
        <v>13</v>
      </c>
      <c r="D522" s="176" t="str">
        <f t="shared" si="133"/>
        <v>C</v>
      </c>
      <c r="E522" s="177" t="d">
        <v>2021-04-30T18:30:00.00000020954757600</v>
      </c>
      <c r="F522" s="178" t="s">
        <v>82</v>
      </c>
      <c r="G522" s="179">
        <v>4181.6899999999996</v>
      </c>
      <c r="H522" s="179">
        <v>4193.79</v>
      </c>
      <c r="I522" s="180">
        <f t="shared" si="134"/>
        <v>12.100000000000364</v>
      </c>
      <c r="J522" s="179">
        <v>4103.07</v>
      </c>
      <c r="K522" s="177" t="d">
        <v>2021-05-03T00:59:59.99999979045242400</v>
      </c>
      <c r="L522" s="179">
        <v>4191.4799999999996</v>
      </c>
      <c r="M522" s="181">
        <f t="shared" si="135"/>
        <v>-9.7899999999999991</v>
      </c>
      <c r="N522" s="182">
        <f t="shared" si="136"/>
        <v>-0.81</v>
      </c>
      <c r="O522" s="183">
        <f t="shared" si="137"/>
        <v>0</v>
      </c>
      <c r="P522" s="184">
        <f t="shared" si="138"/>
        <v>0</v>
      </c>
      <c r="Q522" s="184">
        <f t="shared" si="139"/>
        <v>-0.81</v>
      </c>
      <c r="R52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31542.5</v>
      </c>
      <c r="T52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22" s="186">
        <f ca="1">IF(Tabla33610673[[#This Row],[Equity]]&lt;Tabla33610673[[#This Row],[Equity Peak]],(Tabla33610673[[#This Row],[Equity Peak]]-Tabla33610673[[#This Row],[Equity]])/Tabla33610673[[#This Row],[Equity Peak]],"")</f>
        <v>3.4290088021431304E-2</v>
      </c>
      <c r="V522" s="187">
        <f t="shared" si="140"/>
        <v>0</v>
      </c>
      <c r="W522" s="187">
        <f t="shared" si="141"/>
        <v>0</v>
      </c>
      <c r="X522" s="187">
        <f t="shared" si="142"/>
        <v>0</v>
      </c>
      <c r="Y522" s="187">
        <f t="shared" si="143"/>
        <v>0</v>
      </c>
      <c r="Z522" s="187">
        <f t="shared" si="144"/>
        <v>-0.81</v>
      </c>
      <c r="AA522" s="183">
        <f t="shared" si="145"/>
        <v>0</v>
      </c>
      <c r="AB522" s="187">
        <f t="shared" si="146"/>
        <v>0</v>
      </c>
      <c r="AC522" s="183">
        <f t="shared" si="147"/>
        <v>0</v>
      </c>
      <c r="AD522" s="188">
        <f t="shared" si="148"/>
        <v>2.2708333333284827</v>
      </c>
      <c r="AE522" s="188">
        <f t="shared" si="149"/>
        <v>0</v>
      </c>
      <c r="AF522" s="188">
        <f t="shared" si="150"/>
        <v>2.2708333333284827</v>
      </c>
      <c r="AG522" s="188">
        <f t="shared" si="151"/>
        <v>0</v>
      </c>
    </row>
    <row r="523" spans="2:33" ht="15" customHeight="1" x14ac:dyDescent="0.15">
      <c r="B523" s="174" t="s">
        <v>5</v>
      </c>
      <c r="C523" s="175" t="s">
        <v>13</v>
      </c>
      <c r="D523" s="176" t="str">
        <f t="shared" si="133"/>
        <v>C</v>
      </c>
      <c r="E523" s="177" t="d">
        <v>2021-04-29T17:15:00.000</v>
      </c>
      <c r="F523" s="178" t="s">
        <v>80</v>
      </c>
      <c r="G523" s="179">
        <v>15146.71</v>
      </c>
      <c r="H523" s="179">
        <v>15191.73</v>
      </c>
      <c r="I523" s="180">
        <f t="shared" si="134"/>
        <v>45.020000000000437</v>
      </c>
      <c r="J523" s="179">
        <v>14816.55</v>
      </c>
      <c r="K523" s="177" t="d">
        <v>2021-04-29T21:21:59.99999990221113300</v>
      </c>
      <c r="L523" s="179">
        <v>15184.81</v>
      </c>
      <c r="M523" s="181">
        <f t="shared" si="135"/>
        <v>-38.1</v>
      </c>
      <c r="N523" s="182">
        <f t="shared" si="136"/>
        <v>-0.85</v>
      </c>
      <c r="O523" s="183">
        <f t="shared" si="137"/>
        <v>0</v>
      </c>
      <c r="P523" s="184">
        <f t="shared" si="138"/>
        <v>0</v>
      </c>
      <c r="Q523" s="184">
        <f t="shared" si="139"/>
        <v>-0.85</v>
      </c>
      <c r="R52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31745</v>
      </c>
      <c r="T52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23" s="186">
        <f ca="1">IF(Tabla33610673[[#This Row],[Equity]]&lt;Tabla33610673[[#This Row],[Equity Peak]],(Tabla33610673[[#This Row],[Equity Peak]]-Tabla33610673[[#This Row],[Equity]])/Tabla33610673[[#This Row],[Equity Peak]],"")</f>
        <v>2.8090317642556449E-2</v>
      </c>
      <c r="V523" s="187">
        <f t="shared" si="140"/>
        <v>0</v>
      </c>
      <c r="W523" s="187">
        <f t="shared" si="141"/>
        <v>0</v>
      </c>
      <c r="X523" s="187">
        <f t="shared" si="142"/>
        <v>0</v>
      </c>
      <c r="Y523" s="187">
        <f t="shared" si="143"/>
        <v>0</v>
      </c>
      <c r="Z523" s="187">
        <f t="shared" si="144"/>
        <v>-0.85</v>
      </c>
      <c r="AA523" s="183">
        <f t="shared" si="145"/>
        <v>0</v>
      </c>
      <c r="AB523" s="187">
        <f t="shared" si="146"/>
        <v>0</v>
      </c>
      <c r="AC523" s="183">
        <f t="shared" si="147"/>
        <v>0</v>
      </c>
      <c r="AD523" s="188">
        <f t="shared" si="148"/>
        <v>0.17152777777664596</v>
      </c>
      <c r="AE523" s="188">
        <f t="shared" si="149"/>
        <v>0</v>
      </c>
      <c r="AF523" s="188">
        <f t="shared" si="150"/>
        <v>0.17152777777664596</v>
      </c>
      <c r="AG523" s="188">
        <f t="shared" si="151"/>
        <v>0</v>
      </c>
    </row>
    <row r="524" spans="2:33" ht="15" customHeight="1" x14ac:dyDescent="0.15">
      <c r="B524" s="174" t="s">
        <v>5</v>
      </c>
      <c r="C524" s="175" t="s">
        <v>15</v>
      </c>
      <c r="D524" s="176" t="str">
        <f t="shared" si="133"/>
        <v>C</v>
      </c>
      <c r="E524" s="177" t="d">
        <v>2021-04-29T04:30:00.000</v>
      </c>
      <c r="F524" s="178" t="s">
        <v>82</v>
      </c>
      <c r="G524" s="179">
        <v>4205.3</v>
      </c>
      <c r="H524" s="179">
        <v>4192.37</v>
      </c>
      <c r="I524" s="180">
        <f t="shared" si="134"/>
        <v>12.930000000000291</v>
      </c>
      <c r="J524" s="179">
        <v>4289.37</v>
      </c>
      <c r="K524" s="177" t="d">
        <v>2021-04-29T17:06:59.99999969266355025</v>
      </c>
      <c r="L524" s="179">
        <v>4205.91</v>
      </c>
      <c r="M524" s="181">
        <f t="shared" si="135"/>
        <v>0.61</v>
      </c>
      <c r="N524" s="182">
        <f t="shared" si="136"/>
        <v>0.05</v>
      </c>
      <c r="O524" s="183">
        <f t="shared" si="137"/>
        <v>0</v>
      </c>
      <c r="P524" s="184">
        <f t="shared" si="138"/>
        <v>0.05</v>
      </c>
      <c r="Q524" s="184">
        <f t="shared" si="139"/>
        <v>0</v>
      </c>
      <c r="R52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31957.5</v>
      </c>
      <c r="T52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24" s="186">
        <f ca="1">IF(Tabla33610673[[#This Row],[Equity]]&lt;Tabla33610673[[#This Row],[Equity Peak]],(Tabla33610673[[#This Row],[Equity Peak]]-Tabla33610673[[#This Row],[Equity]])/Tabla33610673[[#This Row],[Equity Peak]],"")</f>
        <v>2.1584385763490241E-2</v>
      </c>
      <c r="V524" s="187">
        <f t="shared" si="140"/>
        <v>0</v>
      </c>
      <c r="W524" s="187">
        <f t="shared" si="141"/>
        <v>0</v>
      </c>
      <c r="X524" s="187">
        <f t="shared" si="142"/>
        <v>0</v>
      </c>
      <c r="Y524" s="187">
        <f t="shared" si="143"/>
        <v>0</v>
      </c>
      <c r="Z524" s="187">
        <f t="shared" si="144"/>
        <v>0.05</v>
      </c>
      <c r="AA524" s="183">
        <f t="shared" si="145"/>
        <v>0</v>
      </c>
      <c r="AB524" s="187">
        <f t="shared" si="146"/>
        <v>0</v>
      </c>
      <c r="AC524" s="183">
        <f t="shared" si="147"/>
        <v>0</v>
      </c>
      <c r="AD524" s="188">
        <f t="shared" si="148"/>
        <v>0.52569444444088731</v>
      </c>
      <c r="AE524" s="188">
        <f t="shared" si="149"/>
        <v>0.52569444444088731</v>
      </c>
      <c r="AF524" s="188">
        <f t="shared" si="150"/>
        <v>0</v>
      </c>
      <c r="AG524" s="188">
        <f t="shared" si="151"/>
        <v>0</v>
      </c>
    </row>
    <row r="525" spans="2:33" ht="15" customHeight="1" x14ac:dyDescent="0.15">
      <c r="B525" s="174" t="s">
        <v>5</v>
      </c>
      <c r="C525" s="175" t="s">
        <v>15</v>
      </c>
      <c r="D525" s="176" t="str">
        <f t="shared" si="133"/>
        <v>C</v>
      </c>
      <c r="E525" s="177" t="d">
        <v>2021-04-29T14:15:00.000</v>
      </c>
      <c r="F525" s="178" t="s">
        <v>81</v>
      </c>
      <c r="G525" s="179">
        <v>14060.15</v>
      </c>
      <c r="H525" s="179">
        <v>14015.84</v>
      </c>
      <c r="I525" s="180">
        <f t="shared" si="134"/>
        <v>44.309999999999491</v>
      </c>
      <c r="J525" s="179">
        <v>14326.01</v>
      </c>
      <c r="K525" s="177" t="d">
        <v>2021-04-29T16:48:59.99999994412064550</v>
      </c>
      <c r="L525" s="179">
        <v>14015.84</v>
      </c>
      <c r="M525" s="181">
        <f t="shared" si="135"/>
        <v>-44.31</v>
      </c>
      <c r="N525" s="182">
        <f t="shared" si="136"/>
        <v>-1</v>
      </c>
      <c r="O525" s="183">
        <f t="shared" si="137"/>
        <v>0</v>
      </c>
      <c r="P525" s="184">
        <f t="shared" si="138"/>
        <v>0</v>
      </c>
      <c r="Q525" s="184">
        <f t="shared" si="139"/>
        <v>-1</v>
      </c>
      <c r="R52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31945</v>
      </c>
      <c r="T52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25" s="186">
        <f ca="1">IF(Tabla33610673[[#This Row],[Equity]]&lt;Tabla33610673[[#This Row],[Equity Peak]],(Tabla33610673[[#This Row],[Equity Peak]]-Tabla33610673[[#This Row],[Equity]])/Tabla33610673[[#This Row],[Equity Peak]],"")</f>
        <v>2.196708763872943E-2</v>
      </c>
      <c r="V525" s="187">
        <f t="shared" si="140"/>
        <v>0</v>
      </c>
      <c r="W525" s="187">
        <f t="shared" si="141"/>
        <v>0</v>
      </c>
      <c r="X525" s="187">
        <f t="shared" si="142"/>
        <v>0</v>
      </c>
      <c r="Y525" s="187">
        <f t="shared" si="143"/>
        <v>0</v>
      </c>
      <c r="Z525" s="187">
        <f t="shared" si="144"/>
        <v>-1</v>
      </c>
      <c r="AA525" s="183">
        <f t="shared" si="145"/>
        <v>0</v>
      </c>
      <c r="AB525" s="187">
        <f t="shared" si="146"/>
        <v>0</v>
      </c>
      <c r="AC525" s="183">
        <f t="shared" si="147"/>
        <v>0</v>
      </c>
      <c r="AD525" s="188">
        <f t="shared" si="148"/>
        <v>0.10694444444379769</v>
      </c>
      <c r="AE525" s="188">
        <f t="shared" si="149"/>
        <v>0</v>
      </c>
      <c r="AF525" s="188">
        <f t="shared" si="150"/>
        <v>0.10694444444379769</v>
      </c>
      <c r="AG525" s="188">
        <f t="shared" si="151"/>
        <v>0</v>
      </c>
    </row>
    <row r="526" spans="2:33" ht="15" customHeight="1" x14ac:dyDescent="0.15">
      <c r="B526" s="174" t="s">
        <v>7</v>
      </c>
      <c r="C526" s="175" t="s">
        <v>15</v>
      </c>
      <c r="D526" s="176" t="str">
        <f t="shared" si="133"/>
        <v>C</v>
      </c>
      <c r="E526" s="177" t="d">
        <v>2021-04-27T13:30:00.000</v>
      </c>
      <c r="F526" s="178" t="s">
        <v>102</v>
      </c>
      <c r="G526" s="179">
        <v>150.53700000000001</v>
      </c>
      <c r="H526" s="179">
        <v>150.24799999999999</v>
      </c>
      <c r="I526" s="180">
        <f t="shared" si="134"/>
        <v>0.28900000000001569</v>
      </c>
      <c r="J526" s="179">
        <v>152.08099999999999</v>
      </c>
      <c r="K526" s="177" t="d">
        <v>2021-04-29T10:44:59.99999979045242400</v>
      </c>
      <c r="L526" s="179">
        <v>152.08099999999999</v>
      </c>
      <c r="M526" s="181">
        <f t="shared" si="135"/>
        <v>1.544</v>
      </c>
      <c r="N526" s="182">
        <f t="shared" si="136"/>
        <v>5.34</v>
      </c>
      <c r="O526" s="183">
        <f t="shared" si="137"/>
        <v>0</v>
      </c>
      <c r="P526" s="184">
        <f t="shared" si="138"/>
        <v>5.34</v>
      </c>
      <c r="Q526" s="184">
        <f t="shared" si="139"/>
        <v>0</v>
      </c>
      <c r="R52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32195</v>
      </c>
      <c r="T52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26" s="186">
        <f ca="1">IF(Tabla33610673[[#This Row],[Equity]]&lt;Tabla33610673[[#This Row],[Equity Peak]],(Tabla33610673[[#This Row],[Equity Peak]]-Tabla33610673[[#This Row],[Equity]])/Tabla33610673[[#This Row],[Equity Peak]],"")</f>
        <v>1.4313050133945656E-2</v>
      </c>
      <c r="V526" s="187">
        <f t="shared" si="140"/>
        <v>5.34</v>
      </c>
      <c r="W526" s="187">
        <f t="shared" si="141"/>
        <v>0</v>
      </c>
      <c r="X526" s="187">
        <f t="shared" si="142"/>
        <v>0</v>
      </c>
      <c r="Y526" s="187">
        <f t="shared" si="143"/>
        <v>0</v>
      </c>
      <c r="Z526" s="187">
        <f t="shared" si="144"/>
        <v>0</v>
      </c>
      <c r="AA526" s="183">
        <f t="shared" si="145"/>
        <v>0</v>
      </c>
      <c r="AB526" s="187">
        <f t="shared" si="146"/>
        <v>0</v>
      </c>
      <c r="AC526" s="183">
        <f t="shared" si="147"/>
        <v>0</v>
      </c>
      <c r="AD526" s="188">
        <f t="shared" si="148"/>
        <v>1.8854166666642413</v>
      </c>
      <c r="AE526" s="188">
        <f t="shared" si="149"/>
        <v>1.8854166666642413</v>
      </c>
      <c r="AF526" s="188">
        <f t="shared" si="150"/>
        <v>0</v>
      </c>
      <c r="AG526" s="188">
        <f t="shared" si="151"/>
        <v>0</v>
      </c>
    </row>
    <row r="527" spans="2:33" ht="15" customHeight="1" x14ac:dyDescent="0.15">
      <c r="B527" s="174" t="s">
        <v>19</v>
      </c>
      <c r="C527" s="175" t="s">
        <v>15</v>
      </c>
      <c r="D527" s="176" t="str">
        <f t="shared" si="133"/>
        <v>C</v>
      </c>
      <c r="E527" s="177" t="d">
        <v>2021-04-28T17:00:00.00000020954757600</v>
      </c>
      <c r="F527" s="178" t="s">
        <v>77</v>
      </c>
      <c r="G527" s="179">
        <v>1773.86</v>
      </c>
      <c r="H527" s="179">
        <v>1768.96</v>
      </c>
      <c r="I527" s="180">
        <f t="shared" si="134"/>
        <v>4.8999999999998636</v>
      </c>
      <c r="J527" s="179">
        <v>1797.4</v>
      </c>
      <c r="K527" s="177" t="d">
        <v>2021-04-29T06:53:59.99999987427145575</v>
      </c>
      <c r="L527" s="179">
        <v>1784.72</v>
      </c>
      <c r="M527" s="181">
        <f t="shared" si="135"/>
        <v>10.86</v>
      </c>
      <c r="N527" s="182">
        <f t="shared" si="136"/>
        <v>2.2200000000000002</v>
      </c>
      <c r="O527" s="183">
        <f t="shared" si="137"/>
        <v>0</v>
      </c>
      <c r="P527" s="184">
        <f t="shared" si="138"/>
        <v>2.2200000000000002</v>
      </c>
      <c r="Q527" s="184">
        <f t="shared" si="139"/>
        <v>0</v>
      </c>
      <c r="R52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30860</v>
      </c>
      <c r="T52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27" s="186">
        <f ca="1">IF(Tabla33610673[[#This Row],[Equity]]&lt;Tabla33610673[[#This Row],[Equity Peak]],(Tabla33610673[[#This Row],[Equity Peak]]-Tabla33610673[[#This Row],[Equity]])/Tabla33610673[[#This Row],[Equity Peak]],"")</f>
        <v>5.5185610409491007E-2</v>
      </c>
      <c r="V527" s="187">
        <f t="shared" si="140"/>
        <v>0</v>
      </c>
      <c r="W527" s="187">
        <f t="shared" si="141"/>
        <v>0</v>
      </c>
      <c r="X527" s="187">
        <f t="shared" si="142"/>
        <v>2.2200000000000002</v>
      </c>
      <c r="Y527" s="187">
        <f t="shared" si="143"/>
        <v>0</v>
      </c>
      <c r="Z527" s="187">
        <f t="shared" si="144"/>
        <v>0</v>
      </c>
      <c r="AA527" s="183">
        <f t="shared" si="145"/>
        <v>0</v>
      </c>
      <c r="AB527" s="187">
        <f t="shared" si="146"/>
        <v>0</v>
      </c>
      <c r="AC527" s="183">
        <f t="shared" si="147"/>
        <v>0</v>
      </c>
      <c r="AD527" s="188">
        <f t="shared" si="148"/>
        <v>0.57916666666278616</v>
      </c>
      <c r="AE527" s="188">
        <f t="shared" si="149"/>
        <v>0.57916666666278616</v>
      </c>
      <c r="AF527" s="188">
        <f t="shared" si="150"/>
        <v>0</v>
      </c>
      <c r="AG527" s="188">
        <f t="shared" si="151"/>
        <v>0</v>
      </c>
    </row>
    <row r="528" spans="2:33" ht="15" customHeight="1" x14ac:dyDescent="0.15">
      <c r="B528" s="174" t="s">
        <v>5</v>
      </c>
      <c r="C528" s="175" t="s">
        <v>15</v>
      </c>
      <c r="D528" s="176" t="str">
        <f t="shared" si="133"/>
        <v>C</v>
      </c>
      <c r="E528" s="177" t="d">
        <v>2021-04-28T21:45:00.000</v>
      </c>
      <c r="F528" s="178" t="s">
        <v>82</v>
      </c>
      <c r="G528" s="179">
        <v>4200.97</v>
      </c>
      <c r="H528" s="179">
        <v>4188.3100000000004</v>
      </c>
      <c r="I528" s="180">
        <f t="shared" si="134"/>
        <v>12.659999999999854</v>
      </c>
      <c r="J528" s="179">
        <v>4283.28</v>
      </c>
      <c r="K528" s="177" t="d">
        <v>2021-04-28T22:09:00.00000029336660775</v>
      </c>
      <c r="L528" s="179">
        <v>4188.3100000000004</v>
      </c>
      <c r="M528" s="181">
        <f t="shared" si="135"/>
        <v>-12.66</v>
      </c>
      <c r="N528" s="182">
        <f t="shared" si="136"/>
        <v>-1</v>
      </c>
      <c r="O528" s="183">
        <f t="shared" si="137"/>
        <v>0</v>
      </c>
      <c r="P528" s="184">
        <f t="shared" si="138"/>
        <v>0</v>
      </c>
      <c r="Q528" s="184">
        <f t="shared" si="139"/>
        <v>-1</v>
      </c>
      <c r="R52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30305</v>
      </c>
      <c r="T52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28" s="186">
        <f ca="1">IF(Tabla33610673[[#This Row],[Equity]]&lt;Tabla33610673[[#This Row],[Equity Peak]],(Tabla33610673[[#This Row],[Equity Peak]]-Tabla33610673[[#This Row],[Equity]])/Tabla33610673[[#This Row],[Equity Peak]],"")</f>
        <v>7.2177573670110989E-2</v>
      </c>
      <c r="V528" s="187">
        <f t="shared" si="140"/>
        <v>0</v>
      </c>
      <c r="W528" s="187">
        <f t="shared" si="141"/>
        <v>0</v>
      </c>
      <c r="X528" s="187">
        <f t="shared" si="142"/>
        <v>0</v>
      </c>
      <c r="Y528" s="187">
        <f t="shared" si="143"/>
        <v>0</v>
      </c>
      <c r="Z528" s="187">
        <f t="shared" si="144"/>
        <v>-1</v>
      </c>
      <c r="AA528" s="183">
        <f t="shared" si="145"/>
        <v>0</v>
      </c>
      <c r="AB528" s="187">
        <f t="shared" si="146"/>
        <v>0</v>
      </c>
      <c r="AC528" s="183">
        <f t="shared" si="147"/>
        <v>0</v>
      </c>
      <c r="AD528" s="188">
        <f t="shared" si="148"/>
        <v>1.6666666670062114E-2</v>
      </c>
      <c r="AE528" s="188">
        <f t="shared" si="149"/>
        <v>0</v>
      </c>
      <c r="AF528" s="188">
        <f t="shared" si="150"/>
        <v>1.6666666670062114E-2</v>
      </c>
      <c r="AG528" s="188">
        <f t="shared" si="151"/>
        <v>0</v>
      </c>
    </row>
    <row r="529" spans="2:33" ht="15" customHeight="1" x14ac:dyDescent="0.15">
      <c r="B529" s="174" t="s">
        <v>5</v>
      </c>
      <c r="C529" s="175" t="s">
        <v>15</v>
      </c>
      <c r="D529" s="176" t="str">
        <f t="shared" ref="D529:D592" si="152">IF(E529&lt;&gt;"",IF(K529&lt;&gt;"","C","O"),"")</f>
        <v>C</v>
      </c>
      <c r="E529" s="177" t="d">
        <v>2021-04-28T17:00:00.00000020954757600</v>
      </c>
      <c r="F529" s="178" t="s">
        <v>82</v>
      </c>
      <c r="G529" s="179">
        <v>4197.2</v>
      </c>
      <c r="H529" s="179">
        <v>4184.88</v>
      </c>
      <c r="I529" s="180">
        <f t="shared" ref="I529:I592" si="153">ABS(G529-H529)</f>
        <v>12.319999999999709</v>
      </c>
      <c r="J529" s="179">
        <v>4277.28</v>
      </c>
      <c r="K529" s="177" t="d">
        <v>2021-04-28T19:00:59.99999998603016475</v>
      </c>
      <c r="L529" s="179">
        <v>4184.88</v>
      </c>
      <c r="M529" s="181">
        <f t="shared" ref="M529:M592" si="154">ROUND(IF(C529="L",(L529-G529),(G529-L529)),4)</f>
        <v>-12.32</v>
      </c>
      <c r="N529" s="182">
        <f t="shared" ref="N529:N592" si="155">IFERROR(ROUND((M529/I529),2),"")</f>
        <v>-1</v>
      </c>
      <c r="O529" s="183">
        <f t="shared" ref="O529:O592" si="156">IF(D529="O",IF(N529&lt;0,N529,0),0)</f>
        <v>0</v>
      </c>
      <c r="P529" s="184">
        <f t="shared" ref="P529:P592" si="157">IF(N529&gt;= 0,N529,0)</f>
        <v>0</v>
      </c>
      <c r="Q529" s="184">
        <f t="shared" ref="Q529:Q592" si="158">IF(N529&lt;0,N529,0)</f>
        <v>-1</v>
      </c>
      <c r="R52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30555</v>
      </c>
      <c r="T52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29" s="186">
        <f ca="1">IF(Tabla33610673[[#This Row],[Equity]]&lt;Tabla33610673[[#This Row],[Equity Peak]],(Tabla33610673[[#This Row],[Equity Peak]]-Tabla33610673[[#This Row],[Equity]])/Tabla33610673[[#This Row],[Equity Peak]],"")</f>
        <v>6.4523536165327217E-2</v>
      </c>
      <c r="V529" s="187">
        <f t="shared" ref="V529:V592" si="159">IF(B529="FX",N529,0)</f>
        <v>0</v>
      </c>
      <c r="W529" s="187">
        <f t="shared" ref="W529:W592" si="160">IF(D529="O",IF(V529&lt;0,V529,0),0)</f>
        <v>0</v>
      </c>
      <c r="X529" s="187">
        <f t="shared" ref="X529:X592" si="161">IF(B529="COM",N529,0)</f>
        <v>0</v>
      </c>
      <c r="Y529" s="187">
        <f t="shared" ref="Y529:Y592" si="162">IF(D529="O",IF(X529&lt;0,X529,0),0)</f>
        <v>0</v>
      </c>
      <c r="Z529" s="187">
        <f t="shared" ref="Z529:Z592" si="163">IF(B529="IND",N529,0)</f>
        <v>-1</v>
      </c>
      <c r="AA529" s="183">
        <f t="shared" ref="AA529:AA592" si="164">IF(D529="O",IF(Z529&lt;0,Z529,0),0)</f>
        <v>0</v>
      </c>
      <c r="AB529" s="187">
        <f t="shared" ref="AB529:AB592" si="165">IF(B529="CRYPTO",N529,0)</f>
        <v>0</v>
      </c>
      <c r="AC529" s="183">
        <f t="shared" ref="AC529:AC592" si="166">IF(D529="O",IF(AB529&lt;0,AB529,0),0)</f>
        <v>0</v>
      </c>
      <c r="AD529" s="188">
        <f t="shared" ref="AD529:AD592" si="167">IF(K529&lt;&gt;"",K529-E529,0)</f>
        <v>8.4027777775190771E-2</v>
      </c>
      <c r="AE529" s="188">
        <f t="shared" ref="AE529:AE592" si="168">IF(N529&gt;0,AD529,0)</f>
        <v>0</v>
      </c>
      <c r="AF529" s="188">
        <f t="shared" ref="AF529:AF592" si="169">IF(N529&lt;0,AD529,0)</f>
        <v>8.4027777775190771E-2</v>
      </c>
      <c r="AG529" s="188">
        <f t="shared" ref="AG529:AG592" si="170">IF(N529=0,AD529,0)</f>
        <v>0</v>
      </c>
    </row>
    <row r="530" spans="2:33" ht="15" customHeight="1" x14ac:dyDescent="0.15">
      <c r="B530" s="174" t="s">
        <v>5</v>
      </c>
      <c r="C530" s="175" t="s">
        <v>15</v>
      </c>
      <c r="D530" s="176" t="str">
        <f t="shared" si="152"/>
        <v>C</v>
      </c>
      <c r="E530" s="177" t="d">
        <v>2021-04-28T17:15:00.000</v>
      </c>
      <c r="F530" s="178" t="s">
        <v>80</v>
      </c>
      <c r="G530" s="179">
        <v>15351.32</v>
      </c>
      <c r="H530" s="179">
        <v>15311.05</v>
      </c>
      <c r="I530" s="180">
        <f t="shared" si="153"/>
        <v>40.270000000000437</v>
      </c>
      <c r="J530" s="179">
        <v>15646.62</v>
      </c>
      <c r="K530" s="177" t="d">
        <v>2021-04-28T18:11:59.99999983236193650</v>
      </c>
      <c r="L530" s="179">
        <v>15311.05</v>
      </c>
      <c r="M530" s="181">
        <f t="shared" si="154"/>
        <v>-40.270000000000003</v>
      </c>
      <c r="N530" s="182">
        <f t="shared" si="155"/>
        <v>-1</v>
      </c>
      <c r="O530" s="183">
        <f t="shared" si="156"/>
        <v>0</v>
      </c>
      <c r="P530" s="184">
        <f t="shared" si="157"/>
        <v>0</v>
      </c>
      <c r="Q530" s="184">
        <f t="shared" si="158"/>
        <v>-1</v>
      </c>
      <c r="R53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30805</v>
      </c>
      <c r="T53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30" s="186">
        <f ca="1">IF(Tabla33610673[[#This Row],[Equity]]&lt;Tabla33610673[[#This Row],[Equity Peak]],(Tabla33610673[[#This Row],[Equity Peak]]-Tabla33610673[[#This Row],[Equity]])/Tabla33610673[[#This Row],[Equity Peak]],"")</f>
        <v>5.6869498660543437E-2</v>
      </c>
      <c r="V530" s="187">
        <f t="shared" si="159"/>
        <v>0</v>
      </c>
      <c r="W530" s="187">
        <f t="shared" si="160"/>
        <v>0</v>
      </c>
      <c r="X530" s="187">
        <f t="shared" si="161"/>
        <v>0</v>
      </c>
      <c r="Y530" s="187">
        <f t="shared" si="162"/>
        <v>0</v>
      </c>
      <c r="Z530" s="187">
        <f t="shared" si="163"/>
        <v>-1</v>
      </c>
      <c r="AA530" s="183">
        <f t="shared" si="164"/>
        <v>0</v>
      </c>
      <c r="AB530" s="187">
        <f t="shared" si="165"/>
        <v>0</v>
      </c>
      <c r="AC530" s="183">
        <f t="shared" si="166"/>
        <v>0</v>
      </c>
      <c r="AD530" s="188">
        <f t="shared" si="167"/>
        <v>3.9583333331393078E-2</v>
      </c>
      <c r="AE530" s="188">
        <f t="shared" si="168"/>
        <v>0</v>
      </c>
      <c r="AF530" s="188">
        <f t="shared" si="169"/>
        <v>3.9583333331393078E-2</v>
      </c>
      <c r="AG530" s="188">
        <f t="shared" si="170"/>
        <v>0</v>
      </c>
    </row>
    <row r="531" spans="2:33" ht="15" customHeight="1" x14ac:dyDescent="0.15">
      <c r="B531" s="174" t="s">
        <v>5</v>
      </c>
      <c r="C531" s="175" t="s">
        <v>15</v>
      </c>
      <c r="D531" s="176" t="str">
        <f t="shared" si="152"/>
        <v>C</v>
      </c>
      <c r="E531" s="177" t="d">
        <v>2021-04-26T18:14:59.99999979045242400</v>
      </c>
      <c r="F531" s="178" t="s">
        <v>81</v>
      </c>
      <c r="G531" s="179">
        <v>14003.18</v>
      </c>
      <c r="H531" s="179">
        <v>13951.93</v>
      </c>
      <c r="I531" s="180">
        <f t="shared" si="153"/>
        <v>51.25</v>
      </c>
      <c r="J531" s="179">
        <v>14310.68</v>
      </c>
      <c r="K531" s="177" t="d">
        <v>2021-04-27T16:47:00.00000018160789875</v>
      </c>
      <c r="L531" s="179">
        <v>13999.5</v>
      </c>
      <c r="M531" s="181">
        <f t="shared" si="154"/>
        <v>-3.68</v>
      </c>
      <c r="N531" s="182">
        <f t="shared" si="155"/>
        <v>-7.0000000000000007E-2</v>
      </c>
      <c r="O531" s="183">
        <f t="shared" si="156"/>
        <v>0</v>
      </c>
      <c r="P531" s="184">
        <f t="shared" si="157"/>
        <v>0</v>
      </c>
      <c r="Q531" s="184">
        <f t="shared" si="158"/>
        <v>-7.0000000000000007E-2</v>
      </c>
      <c r="R53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31055</v>
      </c>
      <c r="T53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31" s="186">
        <f ca="1">IF(Tabla33610673[[#This Row],[Equity]]&lt;Tabla33610673[[#This Row],[Equity Peak]],(Tabla33610673[[#This Row],[Equity Peak]]-Tabla33610673[[#This Row],[Equity]])/Tabla33610673[[#This Row],[Equity Peak]],"")</f>
        <v>4.9215461155759664E-2</v>
      </c>
      <c r="V531" s="187">
        <f t="shared" si="159"/>
        <v>0</v>
      </c>
      <c r="W531" s="187">
        <f t="shared" si="160"/>
        <v>0</v>
      </c>
      <c r="X531" s="187">
        <f t="shared" si="161"/>
        <v>0</v>
      </c>
      <c r="Y531" s="187">
        <f t="shared" si="162"/>
        <v>0</v>
      </c>
      <c r="Z531" s="187">
        <f t="shared" si="163"/>
        <v>-7.0000000000000007E-2</v>
      </c>
      <c r="AA531" s="183">
        <f t="shared" si="164"/>
        <v>0</v>
      </c>
      <c r="AB531" s="187">
        <f t="shared" si="165"/>
        <v>0</v>
      </c>
      <c r="AC531" s="183">
        <f t="shared" si="166"/>
        <v>0</v>
      </c>
      <c r="AD531" s="188">
        <f t="shared" si="167"/>
        <v>0.93888888889341615</v>
      </c>
      <c r="AE531" s="188">
        <f t="shared" si="168"/>
        <v>0</v>
      </c>
      <c r="AF531" s="188">
        <f t="shared" si="169"/>
        <v>0.93888888889341615</v>
      </c>
      <c r="AG531" s="188">
        <f t="shared" si="170"/>
        <v>0</v>
      </c>
    </row>
    <row r="532" spans="2:33" ht="15" customHeight="1" x14ac:dyDescent="0.15">
      <c r="B532" s="174" t="s">
        <v>19</v>
      </c>
      <c r="C532" s="175" t="s">
        <v>15</v>
      </c>
      <c r="D532" s="176" t="str">
        <f t="shared" si="152"/>
        <v>C</v>
      </c>
      <c r="E532" s="177" t="d">
        <v>2021-04-27T15:30:00.00000020954757600</v>
      </c>
      <c r="F532" s="178" t="s">
        <v>77</v>
      </c>
      <c r="G532" s="179">
        <v>1784.97</v>
      </c>
      <c r="H532" s="179">
        <v>1779.91</v>
      </c>
      <c r="I532" s="180">
        <f t="shared" si="153"/>
        <v>5.0599999999999454</v>
      </c>
      <c r="J532" s="179">
        <v>1809.27</v>
      </c>
      <c r="K532" s="177" t="d">
        <v>2021-04-27T16:37:00.00000011175870900</v>
      </c>
      <c r="L532" s="179">
        <v>1779.91</v>
      </c>
      <c r="M532" s="181">
        <f t="shared" si="154"/>
        <v>-5.0599999999999996</v>
      </c>
      <c r="N532" s="182">
        <f t="shared" si="155"/>
        <v>-1</v>
      </c>
      <c r="O532" s="183">
        <f t="shared" si="156"/>
        <v>0</v>
      </c>
      <c r="P532" s="184">
        <f t="shared" si="157"/>
        <v>0</v>
      </c>
      <c r="Q532" s="184">
        <f t="shared" si="158"/>
        <v>-1</v>
      </c>
      <c r="R53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31072.5</v>
      </c>
      <c r="T53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32" s="186">
        <f ca="1">IF(Tabla33610673[[#This Row],[Equity]]&lt;Tabla33610673[[#This Row],[Equity Peak]],(Tabla33610673[[#This Row],[Equity Peak]]-Tabla33610673[[#This Row],[Equity]])/Tabla33610673[[#This Row],[Equity Peak]],"")</f>
        <v>4.8679678530424798E-2</v>
      </c>
      <c r="V532" s="187">
        <f t="shared" si="159"/>
        <v>0</v>
      </c>
      <c r="W532" s="187">
        <f t="shared" si="160"/>
        <v>0</v>
      </c>
      <c r="X532" s="187">
        <f t="shared" si="161"/>
        <v>-1</v>
      </c>
      <c r="Y532" s="187">
        <f t="shared" si="162"/>
        <v>0</v>
      </c>
      <c r="Z532" s="187">
        <f t="shared" si="163"/>
        <v>0</v>
      </c>
      <c r="AA532" s="183">
        <f t="shared" si="164"/>
        <v>0</v>
      </c>
      <c r="AB532" s="187">
        <f t="shared" si="165"/>
        <v>0</v>
      </c>
      <c r="AC532" s="183">
        <f t="shared" si="166"/>
        <v>0</v>
      </c>
      <c r="AD532" s="188">
        <f t="shared" si="167"/>
        <v>4.6527777776645962E-2</v>
      </c>
      <c r="AE532" s="188">
        <f t="shared" si="168"/>
        <v>0</v>
      </c>
      <c r="AF532" s="188">
        <f t="shared" si="169"/>
        <v>4.6527777776645962E-2</v>
      </c>
      <c r="AG532" s="188">
        <f t="shared" si="170"/>
        <v>0</v>
      </c>
    </row>
    <row r="533" spans="2:33" ht="15" customHeight="1" x14ac:dyDescent="0.15">
      <c r="B533" s="174" t="s">
        <v>5</v>
      </c>
      <c r="C533" s="175" t="s">
        <v>15</v>
      </c>
      <c r="D533" s="176" t="str">
        <f t="shared" si="152"/>
        <v>C</v>
      </c>
      <c r="E533" s="177" t="d">
        <v>2021-04-23T20:00:00.00000020954757600</v>
      </c>
      <c r="F533" s="178" t="s">
        <v>81</v>
      </c>
      <c r="G533" s="179">
        <v>13968.56</v>
      </c>
      <c r="H533" s="179">
        <v>13915.69</v>
      </c>
      <c r="I533" s="180">
        <f t="shared" si="153"/>
        <v>52.869999999998981</v>
      </c>
      <c r="J533" s="179">
        <v>14285.78</v>
      </c>
      <c r="K533" s="177" t="d">
        <v>2021-04-26T11:23:59.99999987427145575</v>
      </c>
      <c r="L533" s="179">
        <v>13915.69</v>
      </c>
      <c r="M533" s="181">
        <f t="shared" si="154"/>
        <v>-52.87</v>
      </c>
      <c r="N533" s="182">
        <f t="shared" si="155"/>
        <v>-1</v>
      </c>
      <c r="O533" s="183">
        <f t="shared" si="156"/>
        <v>0</v>
      </c>
      <c r="P533" s="184">
        <f t="shared" si="157"/>
        <v>0</v>
      </c>
      <c r="Q533" s="184">
        <f t="shared" si="158"/>
        <v>-1</v>
      </c>
      <c r="R53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31322.5</v>
      </c>
      <c r="T53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33" s="186">
        <f ca="1">IF(Tabla33610673[[#This Row],[Equity]]&lt;Tabla33610673[[#This Row],[Equity Peak]],(Tabla33610673[[#This Row],[Equity Peak]]-Tabla33610673[[#This Row],[Equity]])/Tabla33610673[[#This Row],[Equity Peak]],"")</f>
        <v>4.1025641025641026E-2</v>
      </c>
      <c r="V533" s="187">
        <f t="shared" si="159"/>
        <v>0</v>
      </c>
      <c r="W533" s="187">
        <f t="shared" si="160"/>
        <v>0</v>
      </c>
      <c r="X533" s="187">
        <f t="shared" si="161"/>
        <v>0</v>
      </c>
      <c r="Y533" s="187">
        <f t="shared" si="162"/>
        <v>0</v>
      </c>
      <c r="Z533" s="187">
        <f t="shared" si="163"/>
        <v>-1</v>
      </c>
      <c r="AA533" s="183">
        <f t="shared" si="164"/>
        <v>0</v>
      </c>
      <c r="AB533" s="187">
        <f t="shared" si="165"/>
        <v>0</v>
      </c>
      <c r="AC533" s="183">
        <f t="shared" si="166"/>
        <v>0</v>
      </c>
      <c r="AD533" s="188">
        <f t="shared" si="167"/>
        <v>2.6416666666627862</v>
      </c>
      <c r="AE533" s="188">
        <f t="shared" si="168"/>
        <v>0</v>
      </c>
      <c r="AF533" s="188">
        <f t="shared" si="169"/>
        <v>2.6416666666627862</v>
      </c>
      <c r="AG533" s="188">
        <f t="shared" si="170"/>
        <v>0</v>
      </c>
    </row>
    <row r="534" spans="2:33" ht="15" customHeight="1" x14ac:dyDescent="0.15">
      <c r="B534" s="174" t="s">
        <v>5</v>
      </c>
      <c r="C534" s="175" t="s">
        <v>15</v>
      </c>
      <c r="D534" s="176" t="str">
        <f t="shared" si="152"/>
        <v>C</v>
      </c>
      <c r="E534" s="177" t="d">
        <v>2021-04-23T17:00:00.00000020954757600</v>
      </c>
      <c r="F534" s="178" t="s">
        <v>82</v>
      </c>
      <c r="G534" s="179">
        <v>4155.54</v>
      </c>
      <c r="H534" s="179">
        <v>4140.3500000000004</v>
      </c>
      <c r="I534" s="180">
        <f t="shared" si="153"/>
        <v>15.1899999999996</v>
      </c>
      <c r="J534" s="179">
        <v>4254.24</v>
      </c>
      <c r="K534" s="177" t="d">
        <v>2021-04-23T23:51:59.99999969266355025</v>
      </c>
      <c r="L534" s="179">
        <v>4175.41</v>
      </c>
      <c r="M534" s="181">
        <f t="shared" si="154"/>
        <v>19.87</v>
      </c>
      <c r="N534" s="182">
        <f t="shared" si="155"/>
        <v>1.31</v>
      </c>
      <c r="O534" s="183">
        <f t="shared" si="156"/>
        <v>0</v>
      </c>
      <c r="P534" s="184">
        <f t="shared" si="157"/>
        <v>1.31</v>
      </c>
      <c r="Q534" s="184">
        <f t="shared" si="158"/>
        <v>0</v>
      </c>
      <c r="R53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31572.5</v>
      </c>
      <c r="T53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34" s="186">
        <f ca="1">IF(Tabla33610673[[#This Row],[Equity]]&lt;Tabla33610673[[#This Row],[Equity Peak]],(Tabla33610673[[#This Row],[Equity Peak]]-Tabla33610673[[#This Row],[Equity]])/Tabla33610673[[#This Row],[Equity Peak]],"")</f>
        <v>3.3371603520857253E-2</v>
      </c>
      <c r="V534" s="187">
        <f t="shared" si="159"/>
        <v>0</v>
      </c>
      <c r="W534" s="187">
        <f t="shared" si="160"/>
        <v>0</v>
      </c>
      <c r="X534" s="187">
        <f t="shared" si="161"/>
        <v>0</v>
      </c>
      <c r="Y534" s="187">
        <f t="shared" si="162"/>
        <v>0</v>
      </c>
      <c r="Z534" s="187">
        <f t="shared" si="163"/>
        <v>1.31</v>
      </c>
      <c r="AA534" s="183">
        <f t="shared" si="164"/>
        <v>0</v>
      </c>
      <c r="AB534" s="187">
        <f t="shared" si="165"/>
        <v>0</v>
      </c>
      <c r="AC534" s="183">
        <f t="shared" si="166"/>
        <v>0</v>
      </c>
      <c r="AD534" s="188">
        <f t="shared" si="167"/>
        <v>0.28611111110512866</v>
      </c>
      <c r="AE534" s="188">
        <f t="shared" si="168"/>
        <v>0.28611111110512866</v>
      </c>
      <c r="AF534" s="188">
        <f t="shared" si="169"/>
        <v>0</v>
      </c>
      <c r="AG534" s="188">
        <f t="shared" si="170"/>
        <v>0</v>
      </c>
    </row>
    <row r="535" spans="2:33" ht="15" customHeight="1" x14ac:dyDescent="0.15">
      <c r="B535" s="174" t="s">
        <v>7</v>
      </c>
      <c r="C535" s="175" t="s">
        <v>13</v>
      </c>
      <c r="D535" s="176" t="str">
        <f t="shared" si="152"/>
        <v>C</v>
      </c>
      <c r="E535" s="177" t="d">
        <v>2021-04-23T16:30:00.000</v>
      </c>
      <c r="F535" s="178" t="s">
        <v>102</v>
      </c>
      <c r="G535" s="179">
        <v>149.077</v>
      </c>
      <c r="H535" s="179">
        <v>149.40600000000001</v>
      </c>
      <c r="I535" s="180">
        <f t="shared" si="153"/>
        <v>0.32900000000000773</v>
      </c>
      <c r="J535" s="179">
        <v>147.32</v>
      </c>
      <c r="K535" s="177" t="d">
        <v>2021-04-23T16:54:00.00000029336660775</v>
      </c>
      <c r="L535" s="179">
        <v>149.40600000000001</v>
      </c>
      <c r="M535" s="181">
        <f t="shared" si="154"/>
        <v>-0.32900000000000001</v>
      </c>
      <c r="N535" s="182">
        <f t="shared" si="155"/>
        <v>-1</v>
      </c>
      <c r="O535" s="183">
        <f t="shared" si="156"/>
        <v>0</v>
      </c>
      <c r="P535" s="184">
        <f t="shared" si="157"/>
        <v>0</v>
      </c>
      <c r="Q535" s="184">
        <f t="shared" si="158"/>
        <v>-1</v>
      </c>
      <c r="R53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31245</v>
      </c>
      <c r="T53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35" s="186">
        <f ca="1">IF(Tabla33610673[[#This Row],[Equity]]&lt;Tabla33610673[[#This Row],[Equity Peak]],(Tabla33610673[[#This Row],[Equity Peak]]-Tabla33610673[[#This Row],[Equity]])/Tabla33610673[[#This Row],[Equity Peak]],"")</f>
        <v>4.3398392652123995E-2</v>
      </c>
      <c r="V535" s="187">
        <f t="shared" si="159"/>
        <v>-1</v>
      </c>
      <c r="W535" s="187">
        <f t="shared" si="160"/>
        <v>0</v>
      </c>
      <c r="X535" s="187">
        <f t="shared" si="161"/>
        <v>0</v>
      </c>
      <c r="Y535" s="187">
        <f t="shared" si="162"/>
        <v>0</v>
      </c>
      <c r="Z535" s="187">
        <f t="shared" si="163"/>
        <v>0</v>
      </c>
      <c r="AA535" s="183">
        <f t="shared" si="164"/>
        <v>0</v>
      </c>
      <c r="AB535" s="187">
        <f t="shared" si="165"/>
        <v>0</v>
      </c>
      <c r="AC535" s="183">
        <f t="shared" si="166"/>
        <v>0</v>
      </c>
      <c r="AD535" s="188">
        <f t="shared" si="167"/>
        <v>1.6666666670062114E-2</v>
      </c>
      <c r="AE535" s="188">
        <f t="shared" si="168"/>
        <v>0</v>
      </c>
      <c r="AF535" s="188">
        <f t="shared" si="169"/>
        <v>1.6666666670062114E-2</v>
      </c>
      <c r="AG535" s="188">
        <f t="shared" si="170"/>
        <v>0</v>
      </c>
    </row>
    <row r="536" spans="2:33" ht="15" customHeight="1" x14ac:dyDescent="0.15">
      <c r="B536" s="174" t="s">
        <v>7</v>
      </c>
      <c r="C536" s="175" t="s">
        <v>13</v>
      </c>
      <c r="D536" s="176" t="str">
        <f t="shared" si="152"/>
        <v>C</v>
      </c>
      <c r="E536" s="177" t="d">
        <v>2021-04-23T15:00:00.000</v>
      </c>
      <c r="F536" s="178" t="s">
        <v>103</v>
      </c>
      <c r="G536" s="179">
        <v>107.779</v>
      </c>
      <c r="H536" s="179">
        <v>107.96299999999999</v>
      </c>
      <c r="I536" s="180">
        <f t="shared" si="153"/>
        <v>0.1839999999999975</v>
      </c>
      <c r="J536" s="179">
        <v>106.62</v>
      </c>
      <c r="K536" s="177" t="d">
        <v>2021-04-23T16:51:59.99999990221113300</v>
      </c>
      <c r="L536" s="179">
        <v>107.756</v>
      </c>
      <c r="M536" s="181">
        <f t="shared" si="154"/>
        <v>2.3E-2</v>
      </c>
      <c r="N536" s="182">
        <f t="shared" si="155"/>
        <v>0.13</v>
      </c>
      <c r="O536" s="183">
        <f t="shared" si="156"/>
        <v>0</v>
      </c>
      <c r="P536" s="184">
        <f t="shared" si="157"/>
        <v>0.13</v>
      </c>
      <c r="Q536" s="184">
        <f t="shared" si="158"/>
        <v>0</v>
      </c>
      <c r="R53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31495</v>
      </c>
      <c r="T53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36" s="186">
        <f ca="1">IF(Tabla33610673[[#This Row],[Equity]]&lt;Tabla33610673[[#This Row],[Equity Peak]],(Tabla33610673[[#This Row],[Equity Peak]]-Tabla33610673[[#This Row],[Equity]])/Tabla33610673[[#This Row],[Equity Peak]],"")</f>
        <v>3.5744355147340222E-2</v>
      </c>
      <c r="V536" s="187">
        <f t="shared" si="159"/>
        <v>0.13</v>
      </c>
      <c r="W536" s="187">
        <f t="shared" si="160"/>
        <v>0</v>
      </c>
      <c r="X536" s="187">
        <f t="shared" si="161"/>
        <v>0</v>
      </c>
      <c r="Y536" s="187">
        <f t="shared" si="162"/>
        <v>0</v>
      </c>
      <c r="Z536" s="187">
        <f t="shared" si="163"/>
        <v>0</v>
      </c>
      <c r="AA536" s="183">
        <f t="shared" si="164"/>
        <v>0</v>
      </c>
      <c r="AB536" s="187">
        <f t="shared" si="165"/>
        <v>0</v>
      </c>
      <c r="AC536" s="183">
        <f t="shared" si="166"/>
        <v>0</v>
      </c>
      <c r="AD536" s="188">
        <f t="shared" si="167"/>
        <v>7.7777777776645962E-2</v>
      </c>
      <c r="AE536" s="188">
        <f t="shared" si="168"/>
        <v>7.7777777776645962E-2</v>
      </c>
      <c r="AF536" s="188">
        <f t="shared" si="169"/>
        <v>0</v>
      </c>
      <c r="AG536" s="188">
        <f t="shared" si="170"/>
        <v>0</v>
      </c>
    </row>
    <row r="537" spans="2:33" ht="15" customHeight="1" x14ac:dyDescent="0.15">
      <c r="B537" s="174" t="s">
        <v>19</v>
      </c>
      <c r="C537" s="175" t="s">
        <v>15</v>
      </c>
      <c r="D537" s="176" t="str">
        <f t="shared" si="152"/>
        <v>C</v>
      </c>
      <c r="E537" s="177" t="d">
        <v>2021-04-23T15:00:00.000</v>
      </c>
      <c r="F537" s="178" t="s">
        <v>77</v>
      </c>
      <c r="G537" s="179">
        <v>1791.24</v>
      </c>
      <c r="H537" s="179">
        <v>1785.96</v>
      </c>
      <c r="I537" s="180">
        <f t="shared" si="153"/>
        <v>5.2799999999999727</v>
      </c>
      <c r="J537" s="179">
        <v>1816.57</v>
      </c>
      <c r="K537" s="177" t="d">
        <v>2021-04-23T16:38:59.99999987427145575</v>
      </c>
      <c r="L537" s="179">
        <v>1785.96</v>
      </c>
      <c r="M537" s="181">
        <f t="shared" si="154"/>
        <v>-5.28</v>
      </c>
      <c r="N537" s="182">
        <f t="shared" si="155"/>
        <v>-1</v>
      </c>
      <c r="O537" s="183">
        <f t="shared" si="156"/>
        <v>0</v>
      </c>
      <c r="P537" s="184">
        <f t="shared" si="157"/>
        <v>0</v>
      </c>
      <c r="Q537" s="184">
        <f t="shared" si="158"/>
        <v>-1</v>
      </c>
      <c r="R53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31462.5</v>
      </c>
      <c r="T53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37" s="186">
        <f ca="1">IF(Tabla33610673[[#This Row],[Equity]]&lt;Tabla33610673[[#This Row],[Equity Peak]],(Tabla33610673[[#This Row],[Equity Peak]]-Tabla33610673[[#This Row],[Equity]])/Tabla33610673[[#This Row],[Equity Peak]],"")</f>
        <v>3.6739380022962113E-2</v>
      </c>
      <c r="V537" s="187">
        <f t="shared" si="159"/>
        <v>0</v>
      </c>
      <c r="W537" s="187">
        <f t="shared" si="160"/>
        <v>0</v>
      </c>
      <c r="X537" s="187">
        <f t="shared" si="161"/>
        <v>-1</v>
      </c>
      <c r="Y537" s="187">
        <f t="shared" si="162"/>
        <v>0</v>
      </c>
      <c r="Z537" s="187">
        <f t="shared" si="163"/>
        <v>0</v>
      </c>
      <c r="AA537" s="183">
        <f t="shared" si="164"/>
        <v>0</v>
      </c>
      <c r="AB537" s="187">
        <f t="shared" si="165"/>
        <v>0</v>
      </c>
      <c r="AC537" s="183">
        <f t="shared" si="166"/>
        <v>0</v>
      </c>
      <c r="AD537" s="188">
        <f t="shared" si="167"/>
        <v>6.8749999998544808E-2</v>
      </c>
      <c r="AE537" s="188">
        <f t="shared" si="168"/>
        <v>0</v>
      </c>
      <c r="AF537" s="188">
        <f t="shared" si="169"/>
        <v>6.8749999998544808E-2</v>
      </c>
      <c r="AG537" s="188">
        <f t="shared" si="170"/>
        <v>0</v>
      </c>
    </row>
    <row r="538" spans="2:33" ht="15" customHeight="1" x14ac:dyDescent="0.15">
      <c r="B538" s="174" t="s">
        <v>19</v>
      </c>
      <c r="C538" s="175" t="s">
        <v>15</v>
      </c>
      <c r="D538" s="176" t="str">
        <f t="shared" si="152"/>
        <v>C</v>
      </c>
      <c r="E538" s="177" t="d">
        <v>2021-04-23T04:44:59.99999979045242400</v>
      </c>
      <c r="F538" s="178" t="s">
        <v>77</v>
      </c>
      <c r="G538" s="179">
        <v>1789.48</v>
      </c>
      <c r="H538" s="179">
        <v>1784.29</v>
      </c>
      <c r="I538" s="180">
        <f t="shared" si="153"/>
        <v>5.1900000000000546</v>
      </c>
      <c r="J538" s="179">
        <v>1814.37</v>
      </c>
      <c r="K538" s="177" t="d">
        <v>2021-04-23T07:38:59.99999987427145575</v>
      </c>
      <c r="L538" s="179">
        <v>1784.29</v>
      </c>
      <c r="M538" s="181">
        <f t="shared" si="154"/>
        <v>-5.19</v>
      </c>
      <c r="N538" s="182">
        <f t="shared" si="155"/>
        <v>-1</v>
      </c>
      <c r="O538" s="183">
        <f t="shared" si="156"/>
        <v>0</v>
      </c>
      <c r="P538" s="184">
        <f t="shared" si="157"/>
        <v>0</v>
      </c>
      <c r="Q538" s="184">
        <f t="shared" si="158"/>
        <v>-1</v>
      </c>
      <c r="R53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31712.5</v>
      </c>
      <c r="T53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38" s="186">
        <f ca="1">IF(Tabla33610673[[#This Row],[Equity]]&lt;Tabla33610673[[#This Row],[Equity Peak]],(Tabla33610673[[#This Row],[Equity Peak]]-Tabla33610673[[#This Row],[Equity]])/Tabla33610673[[#This Row],[Equity Peak]],"")</f>
        <v>2.9085342518178341E-2</v>
      </c>
      <c r="V538" s="187">
        <f t="shared" si="159"/>
        <v>0</v>
      </c>
      <c r="W538" s="187">
        <f t="shared" si="160"/>
        <v>0</v>
      </c>
      <c r="X538" s="187">
        <f t="shared" si="161"/>
        <v>-1</v>
      </c>
      <c r="Y538" s="187">
        <f t="shared" si="162"/>
        <v>0</v>
      </c>
      <c r="Z538" s="187">
        <f t="shared" si="163"/>
        <v>0</v>
      </c>
      <c r="AA538" s="183">
        <f t="shared" si="164"/>
        <v>0</v>
      </c>
      <c r="AB538" s="187">
        <f t="shared" si="165"/>
        <v>0</v>
      </c>
      <c r="AC538" s="183">
        <f t="shared" si="166"/>
        <v>0</v>
      </c>
      <c r="AD538" s="188">
        <f t="shared" si="167"/>
        <v>0.12083333333430346</v>
      </c>
      <c r="AE538" s="188">
        <f t="shared" si="168"/>
        <v>0</v>
      </c>
      <c r="AF538" s="188">
        <f t="shared" si="169"/>
        <v>0.12083333333430346</v>
      </c>
      <c r="AG538" s="188">
        <f t="shared" si="170"/>
        <v>0</v>
      </c>
    </row>
    <row r="539" spans="2:33" ht="15" customHeight="1" x14ac:dyDescent="0.15">
      <c r="B539" s="174" t="s">
        <v>7</v>
      </c>
      <c r="C539" s="175" t="s">
        <v>13</v>
      </c>
      <c r="D539" s="176" t="str">
        <f t="shared" si="152"/>
        <v>C</v>
      </c>
      <c r="E539" s="177" t="d">
        <v>2021-04-23T00:24:59.99999986030161375</v>
      </c>
      <c r="F539" s="178" t="s">
        <v>102</v>
      </c>
      <c r="G539" s="179">
        <v>149.398</v>
      </c>
      <c r="H539" s="179">
        <v>149.667</v>
      </c>
      <c r="I539" s="180">
        <f t="shared" si="153"/>
        <v>0.26900000000000546</v>
      </c>
      <c r="J539" s="179">
        <v>147.96600000000001</v>
      </c>
      <c r="K539" s="177" t="d">
        <v>2021-04-23T06:08:59.99999987427145575</v>
      </c>
      <c r="L539" s="179">
        <v>149.667</v>
      </c>
      <c r="M539" s="181">
        <f t="shared" si="154"/>
        <v>-0.26900000000000002</v>
      </c>
      <c r="N539" s="182">
        <f t="shared" si="155"/>
        <v>-1</v>
      </c>
      <c r="O539" s="183">
        <f t="shared" si="156"/>
        <v>0</v>
      </c>
      <c r="P539" s="184">
        <f t="shared" si="157"/>
        <v>0</v>
      </c>
      <c r="Q539" s="184">
        <f t="shared" si="158"/>
        <v>-1</v>
      </c>
      <c r="R53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31962.5</v>
      </c>
      <c r="T53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39" s="186">
        <f ca="1">IF(Tabla33610673[[#This Row],[Equity]]&lt;Tabla33610673[[#This Row],[Equity Peak]],(Tabla33610673[[#This Row],[Equity Peak]]-Tabla33610673[[#This Row],[Equity]])/Tabla33610673[[#This Row],[Equity Peak]],"")</f>
        <v>2.1431305013394564E-2</v>
      </c>
      <c r="V539" s="187">
        <f t="shared" si="159"/>
        <v>-1</v>
      </c>
      <c r="W539" s="187">
        <f t="shared" si="160"/>
        <v>0</v>
      </c>
      <c r="X539" s="187">
        <f t="shared" si="161"/>
        <v>0</v>
      </c>
      <c r="Y539" s="187">
        <f t="shared" si="162"/>
        <v>0</v>
      </c>
      <c r="Z539" s="187">
        <f t="shared" si="163"/>
        <v>0</v>
      </c>
      <c r="AA539" s="183">
        <f t="shared" si="164"/>
        <v>0</v>
      </c>
      <c r="AB539" s="187">
        <f t="shared" si="165"/>
        <v>0</v>
      </c>
      <c r="AC539" s="183">
        <f t="shared" si="166"/>
        <v>0</v>
      </c>
      <c r="AD539" s="188">
        <f t="shared" si="167"/>
        <v>0.23888888888905058</v>
      </c>
      <c r="AE539" s="188">
        <f t="shared" si="168"/>
        <v>0</v>
      </c>
      <c r="AF539" s="188">
        <f t="shared" si="169"/>
        <v>0.23888888888905058</v>
      </c>
      <c r="AG539" s="188">
        <f t="shared" si="170"/>
        <v>0</v>
      </c>
    </row>
    <row r="540" spans="2:33" ht="15" customHeight="1" x14ac:dyDescent="0.15">
      <c r="B540" s="174" t="s">
        <v>5</v>
      </c>
      <c r="C540" s="175" t="s">
        <v>13</v>
      </c>
      <c r="D540" s="176" t="str">
        <f t="shared" si="152"/>
        <v>C</v>
      </c>
      <c r="E540" s="177" t="d">
        <v>2021-04-22T20:45:00.00000020954757600</v>
      </c>
      <c r="F540" s="178" t="s">
        <v>82</v>
      </c>
      <c r="G540" s="179">
        <v>4140.93</v>
      </c>
      <c r="H540" s="179">
        <v>4155.75</v>
      </c>
      <c r="I540" s="180">
        <f t="shared" si="153"/>
        <v>14.819999999999709</v>
      </c>
      <c r="J540" s="179">
        <v>4044.58</v>
      </c>
      <c r="K540" s="177" t="d">
        <v>2021-04-22T21:42:00.0000000419095125</v>
      </c>
      <c r="L540" s="179">
        <v>4146.29</v>
      </c>
      <c r="M540" s="181">
        <f t="shared" si="154"/>
        <v>-5.36</v>
      </c>
      <c r="N540" s="182">
        <f t="shared" si="155"/>
        <v>-0.36</v>
      </c>
      <c r="O540" s="183">
        <f t="shared" si="156"/>
        <v>0</v>
      </c>
      <c r="P540" s="184">
        <f t="shared" si="157"/>
        <v>0</v>
      </c>
      <c r="Q540" s="184">
        <f t="shared" si="158"/>
        <v>-0.36</v>
      </c>
      <c r="R54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32212.5</v>
      </c>
      <c r="T54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40" s="186">
        <f ca="1">IF(Tabla33610673[[#This Row],[Equity]]&lt;Tabla33610673[[#This Row],[Equity Peak]],(Tabla33610673[[#This Row],[Equity Peak]]-Tabla33610673[[#This Row],[Equity]])/Tabla33610673[[#This Row],[Equity Peak]],"")</f>
        <v>1.3777267508610792E-2</v>
      </c>
      <c r="V540" s="187">
        <f t="shared" si="159"/>
        <v>0</v>
      </c>
      <c r="W540" s="187">
        <f t="shared" si="160"/>
        <v>0</v>
      </c>
      <c r="X540" s="187">
        <f t="shared" si="161"/>
        <v>0</v>
      </c>
      <c r="Y540" s="187">
        <f t="shared" si="162"/>
        <v>0</v>
      </c>
      <c r="Z540" s="187">
        <f t="shared" si="163"/>
        <v>-0.36</v>
      </c>
      <c r="AA540" s="183">
        <f t="shared" si="164"/>
        <v>0</v>
      </c>
      <c r="AB540" s="187">
        <f t="shared" si="165"/>
        <v>0</v>
      </c>
      <c r="AC540" s="183">
        <f t="shared" si="166"/>
        <v>0</v>
      </c>
      <c r="AD540" s="188">
        <f t="shared" si="167"/>
        <v>3.9583333331393078E-2</v>
      </c>
      <c r="AE540" s="188">
        <f t="shared" si="168"/>
        <v>0</v>
      </c>
      <c r="AF540" s="188">
        <f t="shared" si="169"/>
        <v>3.9583333331393078E-2</v>
      </c>
      <c r="AG540" s="188">
        <f t="shared" si="170"/>
        <v>0</v>
      </c>
    </row>
    <row r="541" spans="2:33" ht="15" customHeight="1" x14ac:dyDescent="0.15">
      <c r="B541" s="174" t="s">
        <v>7</v>
      </c>
      <c r="C541" s="175" t="s">
        <v>13</v>
      </c>
      <c r="D541" s="176" t="str">
        <f t="shared" si="152"/>
        <v>C</v>
      </c>
      <c r="E541" s="177" t="d">
        <v>2021-04-22T16:30:00.000</v>
      </c>
      <c r="F541" s="178" t="s">
        <v>102</v>
      </c>
      <c r="G541" s="179">
        <v>149.79900000000001</v>
      </c>
      <c r="H541" s="179">
        <v>150.08799999999999</v>
      </c>
      <c r="I541" s="180">
        <f t="shared" si="153"/>
        <v>0.28899999999998727</v>
      </c>
      <c r="J541" s="179">
        <v>148.25899999999999</v>
      </c>
      <c r="K541" s="177" t="d">
        <v>2021-04-22T19:37:00.00000011175870900</v>
      </c>
      <c r="L541" s="179">
        <v>149.89099999999999</v>
      </c>
      <c r="M541" s="181">
        <f t="shared" si="154"/>
        <v>-9.1999999999999998E-2</v>
      </c>
      <c r="N541" s="182">
        <f t="shared" si="155"/>
        <v>-0.32</v>
      </c>
      <c r="O541" s="183">
        <f t="shared" si="156"/>
        <v>0</v>
      </c>
      <c r="P541" s="184">
        <f t="shared" si="157"/>
        <v>0</v>
      </c>
      <c r="Q541" s="184">
        <f t="shared" si="158"/>
        <v>-0.32</v>
      </c>
      <c r="R54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32302.5</v>
      </c>
      <c r="T54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41" s="186">
        <f ca="1">IF(Tabla33610673[[#This Row],[Equity]]&lt;Tabla33610673[[#This Row],[Equity Peak]],(Tabla33610673[[#This Row],[Equity Peak]]-Tabla33610673[[#This Row],[Equity]])/Tabla33610673[[#This Row],[Equity Peak]],"")</f>
        <v>1.1021814006888633E-2</v>
      </c>
      <c r="V541" s="187">
        <f t="shared" si="159"/>
        <v>-0.32</v>
      </c>
      <c r="W541" s="187">
        <f t="shared" si="160"/>
        <v>0</v>
      </c>
      <c r="X541" s="187">
        <f t="shared" si="161"/>
        <v>0</v>
      </c>
      <c r="Y541" s="187">
        <f t="shared" si="162"/>
        <v>0</v>
      </c>
      <c r="Z541" s="187">
        <f t="shared" si="163"/>
        <v>0</v>
      </c>
      <c r="AA541" s="183">
        <f t="shared" si="164"/>
        <v>0</v>
      </c>
      <c r="AB541" s="187">
        <f t="shared" si="165"/>
        <v>0</v>
      </c>
      <c r="AC541" s="183">
        <f t="shared" si="166"/>
        <v>0</v>
      </c>
      <c r="AD541" s="188">
        <f t="shared" si="167"/>
        <v>0.12986111111240461</v>
      </c>
      <c r="AE541" s="188">
        <f t="shared" si="168"/>
        <v>0</v>
      </c>
      <c r="AF541" s="188">
        <f t="shared" si="169"/>
        <v>0.12986111111240461</v>
      </c>
      <c r="AG541" s="188">
        <f t="shared" si="170"/>
        <v>0</v>
      </c>
    </row>
    <row r="542" spans="2:33" ht="15" customHeight="1" x14ac:dyDescent="0.15">
      <c r="B542" s="174" t="s">
        <v>5</v>
      </c>
      <c r="C542" s="175" t="s">
        <v>15</v>
      </c>
      <c r="D542" s="176" t="str">
        <f t="shared" si="152"/>
        <v>C</v>
      </c>
      <c r="E542" s="177" t="d">
        <v>2021-04-21T17:00:00.00000020954757600</v>
      </c>
      <c r="F542" s="178" t="s">
        <v>82</v>
      </c>
      <c r="G542" s="179">
        <v>4148.53</v>
      </c>
      <c r="H542" s="179">
        <v>4134.76</v>
      </c>
      <c r="I542" s="180">
        <f t="shared" si="153"/>
        <v>13.769999999999527</v>
      </c>
      <c r="J542" s="179">
        <v>4238.04</v>
      </c>
      <c r="K542" s="177" t="d">
        <v>2021-04-22T16:38:59.99999987427145575</v>
      </c>
      <c r="L542" s="179">
        <v>4160.6499999999996</v>
      </c>
      <c r="M542" s="181">
        <f t="shared" si="154"/>
        <v>12.12</v>
      </c>
      <c r="N542" s="182">
        <f t="shared" si="155"/>
        <v>0.88</v>
      </c>
      <c r="O542" s="183">
        <f t="shared" si="156"/>
        <v>0</v>
      </c>
      <c r="P542" s="184">
        <f t="shared" si="157"/>
        <v>0.88</v>
      </c>
      <c r="Q542" s="184">
        <f t="shared" si="158"/>
        <v>0</v>
      </c>
      <c r="R54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32382.5</v>
      </c>
      <c r="T54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42" s="186">
        <f ca="1">IF(Tabla33610673[[#This Row],[Equity]]&lt;Tabla33610673[[#This Row],[Equity Peak]],(Tabla33610673[[#This Row],[Equity Peak]]-Tabla33610673[[#This Row],[Equity]])/Tabla33610673[[#This Row],[Equity Peak]],"")</f>
        <v>8.5725220053578261E-3</v>
      </c>
      <c r="V542" s="187">
        <f t="shared" si="159"/>
        <v>0</v>
      </c>
      <c r="W542" s="187">
        <f t="shared" si="160"/>
        <v>0</v>
      </c>
      <c r="X542" s="187">
        <f t="shared" si="161"/>
        <v>0</v>
      </c>
      <c r="Y542" s="187">
        <f t="shared" si="162"/>
        <v>0</v>
      </c>
      <c r="Z542" s="187">
        <f t="shared" si="163"/>
        <v>0.88</v>
      </c>
      <c r="AA542" s="183">
        <f t="shared" si="164"/>
        <v>0</v>
      </c>
      <c r="AB542" s="187">
        <f t="shared" si="165"/>
        <v>0</v>
      </c>
      <c r="AC542" s="183">
        <f t="shared" si="166"/>
        <v>0</v>
      </c>
      <c r="AD542" s="188">
        <f t="shared" si="167"/>
        <v>0.98541666666278616</v>
      </c>
      <c r="AE542" s="188">
        <f t="shared" si="168"/>
        <v>0.98541666666278616</v>
      </c>
      <c r="AF542" s="188">
        <f t="shared" si="169"/>
        <v>0</v>
      </c>
      <c r="AG542" s="188">
        <f t="shared" si="170"/>
        <v>0</v>
      </c>
    </row>
    <row r="543" spans="2:33" ht="15" customHeight="1" x14ac:dyDescent="0.15">
      <c r="B543" s="174" t="s">
        <v>7</v>
      </c>
      <c r="C543" s="175" t="s">
        <v>13</v>
      </c>
      <c r="D543" s="176" t="str">
        <f t="shared" si="152"/>
        <v>C</v>
      </c>
      <c r="E543" s="177" t="d">
        <v>2021-04-22T10:15:00.00000020954757600</v>
      </c>
      <c r="F543" s="178" t="s">
        <v>103</v>
      </c>
      <c r="G543" s="179">
        <v>107.846</v>
      </c>
      <c r="H543" s="179">
        <v>108.024</v>
      </c>
      <c r="I543" s="180">
        <f t="shared" si="153"/>
        <v>0.17799999999999727</v>
      </c>
      <c r="J543" s="179">
        <v>106.726</v>
      </c>
      <c r="K543" s="177" t="d">
        <v>2021-04-22T11:33:59.99999994412064550</v>
      </c>
      <c r="L543" s="179">
        <v>108.024</v>
      </c>
      <c r="M543" s="181">
        <f t="shared" si="154"/>
        <v>-0.17799999999999999</v>
      </c>
      <c r="N543" s="182">
        <f t="shared" si="155"/>
        <v>-1</v>
      </c>
      <c r="O543" s="183">
        <f t="shared" si="156"/>
        <v>0</v>
      </c>
      <c r="P543" s="184">
        <f t="shared" si="157"/>
        <v>0</v>
      </c>
      <c r="Q543" s="184">
        <f t="shared" si="158"/>
        <v>-1</v>
      </c>
      <c r="R54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32162.5</v>
      </c>
      <c r="T54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43" s="186">
        <f ca="1">IF(Tabla33610673[[#This Row],[Equity]]&lt;Tabla33610673[[#This Row],[Equity Peak]],(Tabla33610673[[#This Row],[Equity Peak]]-Tabla33610673[[#This Row],[Equity]])/Tabla33610673[[#This Row],[Equity Peak]],"")</f>
        <v>1.5308075009567547E-2</v>
      </c>
      <c r="V543" s="187">
        <f t="shared" si="159"/>
        <v>-1</v>
      </c>
      <c r="W543" s="187">
        <f t="shared" si="160"/>
        <v>0</v>
      </c>
      <c r="X543" s="187">
        <f t="shared" si="161"/>
        <v>0</v>
      </c>
      <c r="Y543" s="187">
        <f t="shared" si="162"/>
        <v>0</v>
      </c>
      <c r="Z543" s="187">
        <f t="shared" si="163"/>
        <v>0</v>
      </c>
      <c r="AA543" s="183">
        <f t="shared" si="164"/>
        <v>0</v>
      </c>
      <c r="AB543" s="187">
        <f t="shared" si="165"/>
        <v>0</v>
      </c>
      <c r="AC543" s="183">
        <f t="shared" si="166"/>
        <v>0</v>
      </c>
      <c r="AD543" s="188">
        <f t="shared" si="167"/>
        <v>5.486111110803904E-2</v>
      </c>
      <c r="AE543" s="188">
        <f t="shared" si="168"/>
        <v>0</v>
      </c>
      <c r="AF543" s="188">
        <f t="shared" si="169"/>
        <v>5.486111110803904E-2</v>
      </c>
      <c r="AG543" s="188">
        <f t="shared" si="170"/>
        <v>0</v>
      </c>
    </row>
    <row r="544" spans="2:33" ht="15" customHeight="1" x14ac:dyDescent="0.15">
      <c r="B544" s="174" t="s">
        <v>7</v>
      </c>
      <c r="C544" s="175" t="s">
        <v>13</v>
      </c>
      <c r="D544" s="176" t="str">
        <f t="shared" si="152"/>
        <v>C</v>
      </c>
      <c r="E544" s="177" t="d">
        <v>2021-04-21T03:30:00.00000020954757600</v>
      </c>
      <c r="F544" s="178" t="s">
        <v>103</v>
      </c>
      <c r="G544" s="179">
        <v>107.97</v>
      </c>
      <c r="H544" s="179">
        <v>108.149</v>
      </c>
      <c r="I544" s="180">
        <f t="shared" si="153"/>
        <v>0.17900000000000205</v>
      </c>
      <c r="J544" s="179">
        <v>106.84399999999999</v>
      </c>
      <c r="K544" s="177" t="d">
        <v>2021-04-21T10:37:00.00000011175870900</v>
      </c>
      <c r="L544" s="179">
        <v>108.149</v>
      </c>
      <c r="M544" s="181">
        <f t="shared" si="154"/>
        <v>-0.17899999999999999</v>
      </c>
      <c r="N544" s="182">
        <f t="shared" si="155"/>
        <v>-1</v>
      </c>
      <c r="O544" s="183">
        <f t="shared" si="156"/>
        <v>0</v>
      </c>
      <c r="P544" s="184">
        <f t="shared" si="157"/>
        <v>0</v>
      </c>
      <c r="Q544" s="184">
        <f t="shared" si="158"/>
        <v>-1</v>
      </c>
      <c r="R54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32412.5</v>
      </c>
      <c r="T54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44" s="186">
        <f ca="1">IF(Tabla33610673[[#This Row],[Equity]]&lt;Tabla33610673[[#This Row],[Equity Peak]],(Tabla33610673[[#This Row],[Equity Peak]]-Tabla33610673[[#This Row],[Equity]])/Tabla33610673[[#This Row],[Equity Peak]],"")</f>
        <v>7.6540375047837736E-3</v>
      </c>
      <c r="V544" s="187">
        <f t="shared" si="159"/>
        <v>-1</v>
      </c>
      <c r="W544" s="187">
        <f t="shared" si="160"/>
        <v>0</v>
      </c>
      <c r="X544" s="187">
        <f t="shared" si="161"/>
        <v>0</v>
      </c>
      <c r="Y544" s="187">
        <f t="shared" si="162"/>
        <v>0</v>
      </c>
      <c r="Z544" s="187">
        <f t="shared" si="163"/>
        <v>0</v>
      </c>
      <c r="AA544" s="183">
        <f t="shared" si="164"/>
        <v>0</v>
      </c>
      <c r="AB544" s="187">
        <f t="shared" si="165"/>
        <v>0</v>
      </c>
      <c r="AC544" s="183">
        <f t="shared" si="166"/>
        <v>0</v>
      </c>
      <c r="AD544" s="188">
        <f t="shared" si="167"/>
        <v>0.29652777777664596</v>
      </c>
      <c r="AE544" s="188">
        <f t="shared" si="168"/>
        <v>0</v>
      </c>
      <c r="AF544" s="188">
        <f t="shared" si="169"/>
        <v>0.29652777777664596</v>
      </c>
      <c r="AG544" s="188">
        <f t="shared" si="170"/>
        <v>0</v>
      </c>
    </row>
    <row r="545" spans="2:33" ht="15" customHeight="1" x14ac:dyDescent="0.15">
      <c r="B545" s="174" t="s">
        <v>19</v>
      </c>
      <c r="C545" s="175" t="s">
        <v>15</v>
      </c>
      <c r="D545" s="176" t="str">
        <f t="shared" si="152"/>
        <v>C</v>
      </c>
      <c r="E545" s="177" t="d">
        <v>2021-04-20T17:15:00.000</v>
      </c>
      <c r="F545" s="178" t="s">
        <v>77</v>
      </c>
      <c r="G545" s="179">
        <v>1776.31</v>
      </c>
      <c r="H545" s="179">
        <v>1771.1</v>
      </c>
      <c r="I545" s="180">
        <f t="shared" si="153"/>
        <v>5.2100000000000364</v>
      </c>
      <c r="J545" s="179">
        <v>1801.34</v>
      </c>
      <c r="K545" s="177" t="d">
        <v>2021-04-21T10:37:00.00000011175870900</v>
      </c>
      <c r="L545" s="179">
        <v>1782.88</v>
      </c>
      <c r="M545" s="181">
        <f t="shared" si="154"/>
        <v>6.57</v>
      </c>
      <c r="N545" s="182">
        <f t="shared" si="155"/>
        <v>1.26</v>
      </c>
      <c r="O545" s="183">
        <f t="shared" si="156"/>
        <v>0</v>
      </c>
      <c r="P545" s="184">
        <f t="shared" si="157"/>
        <v>1.26</v>
      </c>
      <c r="Q545" s="184">
        <f t="shared" si="158"/>
        <v>0</v>
      </c>
      <c r="R54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32662.5</v>
      </c>
      <c r="T54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32662.5</v>
      </c>
      <c r="U545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545" s="187">
        <f t="shared" si="159"/>
        <v>0</v>
      </c>
      <c r="W545" s="187">
        <f t="shared" si="160"/>
        <v>0</v>
      </c>
      <c r="X545" s="187">
        <f t="shared" si="161"/>
        <v>1.26</v>
      </c>
      <c r="Y545" s="187">
        <f t="shared" si="162"/>
        <v>0</v>
      </c>
      <c r="Z545" s="187">
        <f t="shared" si="163"/>
        <v>0</v>
      </c>
      <c r="AA545" s="183">
        <f t="shared" si="164"/>
        <v>0</v>
      </c>
      <c r="AB545" s="187">
        <f t="shared" si="165"/>
        <v>0</v>
      </c>
      <c r="AC545" s="183">
        <f t="shared" si="166"/>
        <v>0</v>
      </c>
      <c r="AD545" s="188">
        <f t="shared" si="167"/>
        <v>0.72361111111240461</v>
      </c>
      <c r="AE545" s="188">
        <f t="shared" si="168"/>
        <v>0.72361111111240461</v>
      </c>
      <c r="AF545" s="188">
        <f t="shared" si="169"/>
        <v>0</v>
      </c>
      <c r="AG545" s="188">
        <f t="shared" si="170"/>
        <v>0</v>
      </c>
    </row>
    <row r="546" spans="2:33" ht="15" customHeight="1" x14ac:dyDescent="0.15">
      <c r="B546" s="174" t="s">
        <v>5</v>
      </c>
      <c r="C546" s="175" t="s">
        <v>13</v>
      </c>
      <c r="D546" s="176" t="str">
        <f t="shared" si="152"/>
        <v>C</v>
      </c>
      <c r="E546" s="177" t="d">
        <v>2021-04-20T18:00:00.000</v>
      </c>
      <c r="F546" s="178" t="s">
        <v>82</v>
      </c>
      <c r="G546" s="179">
        <v>4136.91</v>
      </c>
      <c r="H546" s="179">
        <v>4150.1499999999996</v>
      </c>
      <c r="I546" s="180">
        <f t="shared" si="153"/>
        <v>13.239999999999782</v>
      </c>
      <c r="J546" s="179">
        <v>4050.86</v>
      </c>
      <c r="K546" s="177" t="d">
        <v>2021-04-20T22:35:59.99999991618096825</v>
      </c>
      <c r="L546" s="179">
        <v>4135.92</v>
      </c>
      <c r="M546" s="181">
        <f t="shared" si="154"/>
        <v>0.99</v>
      </c>
      <c r="N546" s="182">
        <f t="shared" si="155"/>
        <v>7.0000000000000007E-2</v>
      </c>
      <c r="O546" s="183">
        <f t="shared" si="156"/>
        <v>0</v>
      </c>
      <c r="P546" s="184">
        <f t="shared" si="157"/>
        <v>7.0000000000000007E-2</v>
      </c>
      <c r="Q546" s="184">
        <f t="shared" si="158"/>
        <v>0</v>
      </c>
      <c r="R54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32347.5</v>
      </c>
      <c r="T54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32580</v>
      </c>
      <c r="U546" s="186">
        <f ca="1">IF(Tabla33610673[[#This Row],[Equity]]&lt;Tabla33610673[[#This Row],[Equity Peak]],(Tabla33610673[[#This Row],[Equity Peak]]-Tabla33610673[[#This Row],[Equity]])/Tabla33610673[[#This Row],[Equity Peak]],"")</f>
        <v>7.1362799263351749E-3</v>
      </c>
      <c r="V546" s="187">
        <f t="shared" si="159"/>
        <v>0</v>
      </c>
      <c r="W546" s="187">
        <f t="shared" si="160"/>
        <v>0</v>
      </c>
      <c r="X546" s="187">
        <f t="shared" si="161"/>
        <v>0</v>
      </c>
      <c r="Y546" s="187">
        <f t="shared" si="162"/>
        <v>0</v>
      </c>
      <c r="Z546" s="187">
        <f t="shared" si="163"/>
        <v>7.0000000000000007E-2</v>
      </c>
      <c r="AA546" s="183">
        <f t="shared" si="164"/>
        <v>0</v>
      </c>
      <c r="AB546" s="187">
        <f t="shared" si="165"/>
        <v>0</v>
      </c>
      <c r="AC546" s="183">
        <f t="shared" si="166"/>
        <v>0</v>
      </c>
      <c r="AD546" s="188">
        <f t="shared" si="167"/>
        <v>0.19166666666569654</v>
      </c>
      <c r="AE546" s="188">
        <f t="shared" si="168"/>
        <v>0.19166666666569654</v>
      </c>
      <c r="AF546" s="188">
        <f t="shared" si="169"/>
        <v>0</v>
      </c>
      <c r="AG546" s="188">
        <f t="shared" si="170"/>
        <v>0</v>
      </c>
    </row>
    <row r="547" spans="2:33" ht="15" customHeight="1" x14ac:dyDescent="0.15">
      <c r="B547" s="174" t="s">
        <v>5</v>
      </c>
      <c r="C547" s="175" t="s">
        <v>13</v>
      </c>
      <c r="D547" s="176" t="str">
        <f t="shared" si="152"/>
        <v>C</v>
      </c>
      <c r="E547" s="177" t="d">
        <v>2021-04-20T13:44:59.99999979045242400</v>
      </c>
      <c r="F547" s="178" t="s">
        <v>82</v>
      </c>
      <c r="G547" s="179">
        <v>4142.41</v>
      </c>
      <c r="H547" s="179">
        <v>4155.1000000000004</v>
      </c>
      <c r="I547" s="180">
        <f t="shared" si="153"/>
        <v>12.690000000000509</v>
      </c>
      <c r="J547" s="179">
        <v>4059.89</v>
      </c>
      <c r="K547" s="177" t="d">
        <v>2021-04-20T16:15:00.00000020954757600</v>
      </c>
      <c r="L547" s="179">
        <v>4155.1000000000004</v>
      </c>
      <c r="M547" s="181">
        <f t="shared" si="154"/>
        <v>-12.69</v>
      </c>
      <c r="N547" s="182">
        <f t="shared" si="155"/>
        <v>-1</v>
      </c>
      <c r="O547" s="183">
        <f t="shared" si="156"/>
        <v>0</v>
      </c>
      <c r="P547" s="184">
        <f t="shared" si="157"/>
        <v>0</v>
      </c>
      <c r="Q547" s="184">
        <f t="shared" si="158"/>
        <v>-1</v>
      </c>
      <c r="R54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32330</v>
      </c>
      <c r="T54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32580</v>
      </c>
      <c r="U547" s="186">
        <f ca="1">IF(Tabla33610673[[#This Row],[Equity]]&lt;Tabla33610673[[#This Row],[Equity Peak]],(Tabla33610673[[#This Row],[Equity Peak]]-Tabla33610673[[#This Row],[Equity]])/Tabla33610673[[#This Row],[Equity Peak]],"")</f>
        <v>7.6734192756292207E-3</v>
      </c>
      <c r="V547" s="187">
        <f t="shared" si="159"/>
        <v>0</v>
      </c>
      <c r="W547" s="187">
        <f t="shared" si="160"/>
        <v>0</v>
      </c>
      <c r="X547" s="187">
        <f t="shared" si="161"/>
        <v>0</v>
      </c>
      <c r="Y547" s="187">
        <f t="shared" si="162"/>
        <v>0</v>
      </c>
      <c r="Z547" s="187">
        <f t="shared" si="163"/>
        <v>-1</v>
      </c>
      <c r="AA547" s="183">
        <f t="shared" si="164"/>
        <v>0</v>
      </c>
      <c r="AB547" s="187">
        <f t="shared" si="165"/>
        <v>0</v>
      </c>
      <c r="AC547" s="183">
        <f t="shared" si="166"/>
        <v>0</v>
      </c>
      <c r="AD547" s="188">
        <f t="shared" si="167"/>
        <v>0.10416666667151731</v>
      </c>
      <c r="AE547" s="188">
        <f t="shared" si="168"/>
        <v>0</v>
      </c>
      <c r="AF547" s="188">
        <f t="shared" si="169"/>
        <v>0.10416666667151731</v>
      </c>
      <c r="AG547" s="188">
        <f t="shared" si="170"/>
        <v>0</v>
      </c>
    </row>
    <row r="548" spans="2:33" ht="15" customHeight="1" x14ac:dyDescent="0.15">
      <c r="B548" s="174" t="s">
        <v>7</v>
      </c>
      <c r="C548" s="175" t="s">
        <v>15</v>
      </c>
      <c r="D548" s="176" t="str">
        <f t="shared" si="152"/>
        <v>C</v>
      </c>
      <c r="E548" s="177" t="d">
        <v>2021-04-19T15:14:59.99999979045242400</v>
      </c>
      <c r="F548" s="178" t="s">
        <v>102</v>
      </c>
      <c r="G548" s="179">
        <v>150.649</v>
      </c>
      <c r="H548" s="179">
        <v>150.315</v>
      </c>
      <c r="I548" s="180">
        <f t="shared" si="153"/>
        <v>0.33400000000000318</v>
      </c>
      <c r="J548" s="179">
        <v>152.43100000000001</v>
      </c>
      <c r="K548" s="177" t="d">
        <v>2021-04-20T13:09:59.99999986030161375</v>
      </c>
      <c r="L548" s="179">
        <v>151.476</v>
      </c>
      <c r="M548" s="181">
        <f t="shared" si="154"/>
        <v>0.82699999999999996</v>
      </c>
      <c r="N548" s="182">
        <f t="shared" si="155"/>
        <v>2.48</v>
      </c>
      <c r="O548" s="183">
        <f t="shared" si="156"/>
        <v>0</v>
      </c>
      <c r="P548" s="184">
        <f t="shared" si="157"/>
        <v>2.48</v>
      </c>
      <c r="Q548" s="184">
        <f t="shared" si="158"/>
        <v>0</v>
      </c>
      <c r="R54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32580</v>
      </c>
      <c r="T54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32580</v>
      </c>
      <c r="U548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548" s="187">
        <f t="shared" si="159"/>
        <v>2.48</v>
      </c>
      <c r="W548" s="187">
        <f t="shared" si="160"/>
        <v>0</v>
      </c>
      <c r="X548" s="187">
        <f t="shared" si="161"/>
        <v>0</v>
      </c>
      <c r="Y548" s="187">
        <f t="shared" si="162"/>
        <v>0</v>
      </c>
      <c r="Z548" s="187">
        <f t="shared" si="163"/>
        <v>0</v>
      </c>
      <c r="AA548" s="183">
        <f t="shared" si="164"/>
        <v>0</v>
      </c>
      <c r="AB548" s="187">
        <f t="shared" si="165"/>
        <v>0</v>
      </c>
      <c r="AC548" s="183">
        <f t="shared" si="166"/>
        <v>0</v>
      </c>
      <c r="AD548" s="188">
        <f t="shared" si="167"/>
        <v>0.91319444444525288</v>
      </c>
      <c r="AE548" s="188">
        <f t="shared" si="168"/>
        <v>0.91319444444525288</v>
      </c>
      <c r="AF548" s="188">
        <f t="shared" si="169"/>
        <v>0</v>
      </c>
      <c r="AG548" s="188">
        <f t="shared" si="170"/>
        <v>0</v>
      </c>
    </row>
    <row r="549" spans="2:33" ht="15" customHeight="1" x14ac:dyDescent="0.15">
      <c r="B549" s="174" t="s">
        <v>7</v>
      </c>
      <c r="C549" s="175" t="s">
        <v>13</v>
      </c>
      <c r="D549" s="176" t="str">
        <f t="shared" si="152"/>
        <v>C</v>
      </c>
      <c r="E549" s="177" t="d">
        <v>2021-04-19T05:15:00.000</v>
      </c>
      <c r="F549" s="178" t="s">
        <v>103</v>
      </c>
      <c r="G549" s="179">
        <v>108.577</v>
      </c>
      <c r="H549" s="179">
        <v>108.76</v>
      </c>
      <c r="I549" s="180">
        <f t="shared" si="153"/>
        <v>0.18300000000000693</v>
      </c>
      <c r="J549" s="179">
        <v>107.42700000000001</v>
      </c>
      <c r="K549" s="177" t="d">
        <v>2021-04-19T16:44:59.99999979045242400</v>
      </c>
      <c r="L549" s="179">
        <v>108.28100000000001</v>
      </c>
      <c r="M549" s="181">
        <f t="shared" si="154"/>
        <v>0.29599999999999999</v>
      </c>
      <c r="N549" s="182">
        <f t="shared" si="155"/>
        <v>1.62</v>
      </c>
      <c r="O549" s="183">
        <f t="shared" si="156"/>
        <v>0</v>
      </c>
      <c r="P549" s="184">
        <f t="shared" si="157"/>
        <v>1.62</v>
      </c>
      <c r="Q549" s="184">
        <f t="shared" si="158"/>
        <v>0</v>
      </c>
      <c r="R54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31960</v>
      </c>
      <c r="T54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31960</v>
      </c>
      <c r="U549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549" s="187">
        <f t="shared" si="159"/>
        <v>1.62</v>
      </c>
      <c r="W549" s="187">
        <f t="shared" si="160"/>
        <v>0</v>
      </c>
      <c r="X549" s="187">
        <f t="shared" si="161"/>
        <v>0</v>
      </c>
      <c r="Y549" s="187">
        <f t="shared" si="162"/>
        <v>0</v>
      </c>
      <c r="Z549" s="187">
        <f t="shared" si="163"/>
        <v>0</v>
      </c>
      <c r="AA549" s="183">
        <f t="shared" si="164"/>
        <v>0</v>
      </c>
      <c r="AB549" s="187">
        <f t="shared" si="165"/>
        <v>0</v>
      </c>
      <c r="AC549" s="183">
        <f t="shared" si="166"/>
        <v>0</v>
      </c>
      <c r="AD549" s="188">
        <f t="shared" si="167"/>
        <v>0.47916666666424135</v>
      </c>
      <c r="AE549" s="188">
        <f t="shared" si="168"/>
        <v>0.47916666666424135</v>
      </c>
      <c r="AF549" s="188">
        <f t="shared" si="169"/>
        <v>0</v>
      </c>
      <c r="AG549" s="188">
        <f t="shared" si="170"/>
        <v>0</v>
      </c>
    </row>
    <row r="550" spans="2:33" ht="15" customHeight="1" x14ac:dyDescent="0.15">
      <c r="B550" s="174" t="s">
        <v>5</v>
      </c>
      <c r="C550" s="175" t="s">
        <v>15</v>
      </c>
      <c r="D550" s="176" t="str">
        <f t="shared" si="152"/>
        <v>C</v>
      </c>
      <c r="E550" s="177" t="d">
        <v>2021-04-16T10:30:00.000</v>
      </c>
      <c r="F550" s="178" t="s">
        <v>80</v>
      </c>
      <c r="G550" s="179">
        <v>15325.12</v>
      </c>
      <c r="H550" s="179">
        <v>15287.46</v>
      </c>
      <c r="I550" s="180">
        <f t="shared" si="153"/>
        <v>37.660000000001673</v>
      </c>
      <c r="J550" s="179">
        <v>15601.29</v>
      </c>
      <c r="K550" s="177" t="d">
        <v>2021-04-19T03:14:59.99999979045242400</v>
      </c>
      <c r="L550" s="179">
        <v>15453.24</v>
      </c>
      <c r="M550" s="181">
        <f t="shared" si="154"/>
        <v>128.12</v>
      </c>
      <c r="N550" s="182">
        <f t="shared" si="155"/>
        <v>3.4</v>
      </c>
      <c r="O550" s="183">
        <f t="shared" si="156"/>
        <v>0</v>
      </c>
      <c r="P550" s="184">
        <f t="shared" si="157"/>
        <v>3.4</v>
      </c>
      <c r="Q550" s="184">
        <f t="shared" si="158"/>
        <v>0</v>
      </c>
      <c r="R55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31555</v>
      </c>
      <c r="T55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31555</v>
      </c>
      <c r="U550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550" s="187">
        <f t="shared" si="159"/>
        <v>0</v>
      </c>
      <c r="W550" s="187">
        <f t="shared" si="160"/>
        <v>0</v>
      </c>
      <c r="X550" s="187">
        <f t="shared" si="161"/>
        <v>0</v>
      </c>
      <c r="Y550" s="187">
        <f t="shared" si="162"/>
        <v>0</v>
      </c>
      <c r="Z550" s="187">
        <f t="shared" si="163"/>
        <v>3.4</v>
      </c>
      <c r="AA550" s="183">
        <f t="shared" si="164"/>
        <v>0</v>
      </c>
      <c r="AB550" s="187">
        <f t="shared" si="165"/>
        <v>0</v>
      </c>
      <c r="AC550" s="183">
        <f t="shared" si="166"/>
        <v>0</v>
      </c>
      <c r="AD550" s="188">
        <f t="shared" si="167"/>
        <v>2.6979166666642413</v>
      </c>
      <c r="AE550" s="188">
        <f t="shared" si="168"/>
        <v>2.6979166666642413</v>
      </c>
      <c r="AF550" s="188">
        <f t="shared" si="169"/>
        <v>0</v>
      </c>
      <c r="AG550" s="188">
        <f t="shared" si="170"/>
        <v>0</v>
      </c>
    </row>
    <row r="551" spans="2:33" ht="15" customHeight="1" x14ac:dyDescent="0.15">
      <c r="B551" s="174" t="s">
        <v>7</v>
      </c>
      <c r="C551" s="175" t="s">
        <v>15</v>
      </c>
      <c r="D551" s="176" t="str">
        <f t="shared" si="152"/>
        <v>C</v>
      </c>
      <c r="E551" s="177" t="d">
        <v>2021-04-16T21:00:00.000</v>
      </c>
      <c r="F551" s="178" t="s">
        <v>102</v>
      </c>
      <c r="G551" s="179">
        <v>150.48500000000001</v>
      </c>
      <c r="H551" s="179">
        <v>150.21899999999999</v>
      </c>
      <c r="I551" s="180">
        <f t="shared" si="153"/>
        <v>0.26600000000001955</v>
      </c>
      <c r="J551" s="179">
        <v>151.90299999999999</v>
      </c>
      <c r="K551" s="177" t="d">
        <v>2021-04-19T00:52:00.00000011175870900</v>
      </c>
      <c r="L551" s="179">
        <v>150.24299999999999</v>
      </c>
      <c r="M551" s="181">
        <f t="shared" si="154"/>
        <v>-0.24199999999999999</v>
      </c>
      <c r="N551" s="182">
        <f t="shared" si="155"/>
        <v>-0.91</v>
      </c>
      <c r="O551" s="183">
        <f t="shared" si="156"/>
        <v>0</v>
      </c>
      <c r="P551" s="184">
        <f t="shared" si="157"/>
        <v>0</v>
      </c>
      <c r="Q551" s="184">
        <f t="shared" si="158"/>
        <v>-0.91</v>
      </c>
      <c r="R55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30705</v>
      </c>
      <c r="T55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31395</v>
      </c>
      <c r="U551" s="186">
        <f ca="1">IF(Tabla33610673[[#This Row],[Equity]]&lt;Tabla33610673[[#This Row],[Equity Peak]],(Tabla33610673[[#This Row],[Equity Peak]]-Tabla33610673[[#This Row],[Equity]])/Tabla33610673[[#This Row],[Equity Peak]],"")</f>
        <v>2.197802197802198E-2</v>
      </c>
      <c r="V551" s="187">
        <f t="shared" si="159"/>
        <v>-0.91</v>
      </c>
      <c r="W551" s="187">
        <f t="shared" si="160"/>
        <v>0</v>
      </c>
      <c r="X551" s="187">
        <f t="shared" si="161"/>
        <v>0</v>
      </c>
      <c r="Y551" s="187">
        <f t="shared" si="162"/>
        <v>0</v>
      </c>
      <c r="Z551" s="187">
        <f t="shared" si="163"/>
        <v>0</v>
      </c>
      <c r="AA551" s="183">
        <f t="shared" si="164"/>
        <v>0</v>
      </c>
      <c r="AB551" s="187">
        <f t="shared" si="165"/>
        <v>0</v>
      </c>
      <c r="AC551" s="183">
        <f t="shared" si="166"/>
        <v>0</v>
      </c>
      <c r="AD551" s="188">
        <f t="shared" si="167"/>
        <v>2.1611111111124046</v>
      </c>
      <c r="AE551" s="188">
        <f t="shared" si="168"/>
        <v>0</v>
      </c>
      <c r="AF551" s="188">
        <f t="shared" si="169"/>
        <v>2.1611111111124046</v>
      </c>
      <c r="AG551" s="188">
        <f t="shared" si="170"/>
        <v>0</v>
      </c>
    </row>
    <row r="552" spans="2:33" ht="15" customHeight="1" x14ac:dyDescent="0.15">
      <c r="B552" s="174" t="s">
        <v>5</v>
      </c>
      <c r="C552" s="175" t="s">
        <v>15</v>
      </c>
      <c r="D552" s="176" t="str">
        <f t="shared" si="152"/>
        <v>C</v>
      </c>
      <c r="E552" s="177" t="d">
        <v>2021-04-15T14:00:00.00000020954757600</v>
      </c>
      <c r="F552" s="178" t="s">
        <v>82</v>
      </c>
      <c r="G552" s="179">
        <v>4149.07</v>
      </c>
      <c r="H552" s="179">
        <v>4137.13</v>
      </c>
      <c r="I552" s="180">
        <f t="shared" si="153"/>
        <v>11.9399999999996</v>
      </c>
      <c r="J552" s="179">
        <v>4226.6899999999996</v>
      </c>
      <c r="K552" s="177" t="d">
        <v>2021-04-16T16:51:59.99999990221113300</v>
      </c>
      <c r="L552" s="179">
        <v>4174.76</v>
      </c>
      <c r="M552" s="181">
        <f t="shared" si="154"/>
        <v>25.69</v>
      </c>
      <c r="N552" s="182">
        <f t="shared" si="155"/>
        <v>2.15</v>
      </c>
      <c r="O552" s="183">
        <f t="shared" si="156"/>
        <v>0</v>
      </c>
      <c r="P552" s="184">
        <f t="shared" si="157"/>
        <v>2.15</v>
      </c>
      <c r="Q552" s="184">
        <f t="shared" si="158"/>
        <v>0</v>
      </c>
      <c r="R55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30932.5</v>
      </c>
      <c r="T55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31395</v>
      </c>
      <c r="U552" s="186">
        <f ca="1">IF(Tabla33610673[[#This Row],[Equity]]&lt;Tabla33610673[[#This Row],[Equity Peak]],(Tabla33610673[[#This Row],[Equity Peak]]-Tabla33610673[[#This Row],[Equity]])/Tabla33610673[[#This Row],[Equity Peak]],"")</f>
        <v>1.4731645166427776E-2</v>
      </c>
      <c r="V552" s="187">
        <f t="shared" si="159"/>
        <v>0</v>
      </c>
      <c r="W552" s="187">
        <f t="shared" si="160"/>
        <v>0</v>
      </c>
      <c r="X552" s="187">
        <f t="shared" si="161"/>
        <v>0</v>
      </c>
      <c r="Y552" s="187">
        <f t="shared" si="162"/>
        <v>0</v>
      </c>
      <c r="Z552" s="187">
        <f t="shared" si="163"/>
        <v>2.15</v>
      </c>
      <c r="AA552" s="183">
        <f t="shared" si="164"/>
        <v>0</v>
      </c>
      <c r="AB552" s="187">
        <f t="shared" si="165"/>
        <v>0</v>
      </c>
      <c r="AC552" s="183">
        <f t="shared" si="166"/>
        <v>0</v>
      </c>
      <c r="AD552" s="188">
        <f t="shared" si="167"/>
        <v>1.1194444444408873</v>
      </c>
      <c r="AE552" s="188">
        <f t="shared" si="168"/>
        <v>1.1194444444408873</v>
      </c>
      <c r="AF552" s="188">
        <f t="shared" si="169"/>
        <v>0</v>
      </c>
      <c r="AG552" s="188">
        <f t="shared" si="170"/>
        <v>0</v>
      </c>
    </row>
    <row r="553" spans="2:33" ht="15" customHeight="1" x14ac:dyDescent="0.15">
      <c r="B553" s="174" t="s">
        <v>5</v>
      </c>
      <c r="C553" s="175" t="s">
        <v>15</v>
      </c>
      <c r="D553" s="176" t="str">
        <f t="shared" si="152"/>
        <v>C</v>
      </c>
      <c r="E553" s="177" t="d">
        <v>2021-04-16T15:14:59.99999979045242400</v>
      </c>
      <c r="F553" s="178" t="s">
        <v>81</v>
      </c>
      <c r="G553" s="179">
        <v>14073.66</v>
      </c>
      <c r="H553" s="179">
        <v>14022.71</v>
      </c>
      <c r="I553" s="180">
        <f t="shared" si="153"/>
        <v>50.950000000000728</v>
      </c>
      <c r="J553" s="179">
        <v>14379.34</v>
      </c>
      <c r="K553" s="177" t="d">
        <v>2021-04-16T16:35:59.99999991618096825</v>
      </c>
      <c r="L553" s="179">
        <v>14022.71</v>
      </c>
      <c r="M553" s="181">
        <f t="shared" si="154"/>
        <v>-50.95</v>
      </c>
      <c r="N553" s="182">
        <f t="shared" si="155"/>
        <v>-1</v>
      </c>
      <c r="O553" s="183">
        <f t="shared" si="156"/>
        <v>0</v>
      </c>
      <c r="P553" s="184">
        <f t="shared" si="157"/>
        <v>0</v>
      </c>
      <c r="Q553" s="184">
        <f t="shared" si="158"/>
        <v>-1</v>
      </c>
      <c r="R55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30395</v>
      </c>
      <c r="T55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31395</v>
      </c>
      <c r="U553" s="186">
        <f ca="1">IF(Tabla33610673[[#This Row],[Equity]]&lt;Tabla33610673[[#This Row],[Equity Peak]],(Tabla33610673[[#This Row],[Equity Peak]]-Tabla33610673[[#This Row],[Equity]])/Tabla33610673[[#This Row],[Equity Peak]],"")</f>
        <v>3.185220576524924E-2</v>
      </c>
      <c r="V553" s="187">
        <f t="shared" si="159"/>
        <v>0</v>
      </c>
      <c r="W553" s="187">
        <f t="shared" si="160"/>
        <v>0</v>
      </c>
      <c r="X553" s="187">
        <f t="shared" si="161"/>
        <v>0</v>
      </c>
      <c r="Y553" s="187">
        <f t="shared" si="162"/>
        <v>0</v>
      </c>
      <c r="Z553" s="187">
        <f t="shared" si="163"/>
        <v>-1</v>
      </c>
      <c r="AA553" s="183">
        <f t="shared" si="164"/>
        <v>0</v>
      </c>
      <c r="AB553" s="187">
        <f t="shared" si="165"/>
        <v>0</v>
      </c>
      <c r="AC553" s="183">
        <f t="shared" si="166"/>
        <v>0</v>
      </c>
      <c r="AD553" s="188">
        <f t="shared" si="167"/>
        <v>5.6250000001455192E-2</v>
      </c>
      <c r="AE553" s="188">
        <f t="shared" si="168"/>
        <v>0</v>
      </c>
      <c r="AF553" s="188">
        <f t="shared" si="169"/>
        <v>5.6250000001455192E-2</v>
      </c>
      <c r="AG553" s="188">
        <f t="shared" si="170"/>
        <v>0</v>
      </c>
    </row>
    <row r="554" spans="2:33" ht="15" customHeight="1" x14ac:dyDescent="0.15">
      <c r="B554" s="174" t="s">
        <v>7</v>
      </c>
      <c r="C554" s="175" t="s">
        <v>13</v>
      </c>
      <c r="D554" s="176" t="str">
        <f t="shared" si="152"/>
        <v>C</v>
      </c>
      <c r="E554" s="177" t="d">
        <v>2021-04-16T09:59:59.99999979045242400</v>
      </c>
      <c r="F554" s="178" t="s">
        <v>102</v>
      </c>
      <c r="G554" s="179">
        <v>149.44499999999999</v>
      </c>
      <c r="H554" s="179">
        <v>149.70599999999999</v>
      </c>
      <c r="I554" s="180">
        <f t="shared" si="153"/>
        <v>0.26099999999999568</v>
      </c>
      <c r="J554" s="179">
        <v>148.05199999999999</v>
      </c>
      <c r="K554" s="177" t="d">
        <v>2021-04-16T10:37:00.00000011175870900</v>
      </c>
      <c r="L554" s="179">
        <v>149.70599999999999</v>
      </c>
      <c r="M554" s="181">
        <f t="shared" si="154"/>
        <v>-0.26100000000000001</v>
      </c>
      <c r="N554" s="182">
        <f t="shared" si="155"/>
        <v>-1</v>
      </c>
      <c r="O554" s="183">
        <f t="shared" si="156"/>
        <v>0</v>
      </c>
      <c r="P554" s="184">
        <f t="shared" si="157"/>
        <v>0</v>
      </c>
      <c r="Q554" s="184">
        <f t="shared" si="158"/>
        <v>-1</v>
      </c>
      <c r="R55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30645</v>
      </c>
      <c r="T55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31395</v>
      </c>
      <c r="U554" s="186">
        <f ca="1">IF(Tabla33610673[[#This Row],[Equity]]&lt;Tabla33610673[[#This Row],[Equity Peak]],(Tabla33610673[[#This Row],[Equity Peak]]-Tabla33610673[[#This Row],[Equity]])/Tabla33610673[[#This Row],[Equity Peak]],"")</f>
        <v>2.3889154323936932E-2</v>
      </c>
      <c r="V554" s="187">
        <f t="shared" si="159"/>
        <v>-1</v>
      </c>
      <c r="W554" s="187">
        <f t="shared" si="160"/>
        <v>0</v>
      </c>
      <c r="X554" s="187">
        <f t="shared" si="161"/>
        <v>0</v>
      </c>
      <c r="Y554" s="187">
        <f t="shared" si="162"/>
        <v>0</v>
      </c>
      <c r="Z554" s="187">
        <f t="shared" si="163"/>
        <v>0</v>
      </c>
      <c r="AA554" s="183">
        <f t="shared" si="164"/>
        <v>0</v>
      </c>
      <c r="AB554" s="187">
        <f t="shared" si="165"/>
        <v>0</v>
      </c>
      <c r="AC554" s="183">
        <f t="shared" si="166"/>
        <v>0</v>
      </c>
      <c r="AD554" s="188">
        <f t="shared" si="167"/>
        <v>2.5694444448163267E-2</v>
      </c>
      <c r="AE554" s="188">
        <f t="shared" si="168"/>
        <v>0</v>
      </c>
      <c r="AF554" s="188">
        <f t="shared" si="169"/>
        <v>2.5694444448163267E-2</v>
      </c>
      <c r="AG554" s="188">
        <f t="shared" si="170"/>
        <v>0</v>
      </c>
    </row>
    <row r="555" spans="2:33" ht="15" customHeight="1" x14ac:dyDescent="0.15">
      <c r="B555" s="174" t="s">
        <v>5</v>
      </c>
      <c r="C555" s="175" t="s">
        <v>15</v>
      </c>
      <c r="D555" s="176" t="str">
        <f t="shared" si="152"/>
        <v>C</v>
      </c>
      <c r="E555" s="177" t="d">
        <v>2021-04-16T09:00:00.000</v>
      </c>
      <c r="F555" s="178" t="s">
        <v>80</v>
      </c>
      <c r="G555" s="179">
        <v>15310.12</v>
      </c>
      <c r="H555" s="179">
        <v>15273.66</v>
      </c>
      <c r="I555" s="180">
        <f t="shared" si="153"/>
        <v>36.460000000000946</v>
      </c>
      <c r="J555" s="179">
        <v>15577.49</v>
      </c>
      <c r="K555" s="177" t="d">
        <v>2021-04-16T09:59:59.99999979045242400</v>
      </c>
      <c r="L555" s="179">
        <v>15273.66</v>
      </c>
      <c r="M555" s="181">
        <f t="shared" si="154"/>
        <v>-36.46</v>
      </c>
      <c r="N555" s="182">
        <f t="shared" si="155"/>
        <v>-1</v>
      </c>
      <c r="O555" s="183">
        <f t="shared" si="156"/>
        <v>0</v>
      </c>
      <c r="P555" s="184">
        <f t="shared" si="157"/>
        <v>0</v>
      </c>
      <c r="Q555" s="184">
        <f t="shared" si="158"/>
        <v>-1</v>
      </c>
      <c r="R55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30895</v>
      </c>
      <c r="T55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31395</v>
      </c>
      <c r="U555" s="186">
        <f ca="1">IF(Tabla33610673[[#This Row],[Equity]]&lt;Tabla33610673[[#This Row],[Equity Peak]],(Tabla33610673[[#This Row],[Equity Peak]]-Tabla33610673[[#This Row],[Equity]])/Tabla33610673[[#This Row],[Equity Peak]],"")</f>
        <v>1.592610288262462E-2</v>
      </c>
      <c r="V555" s="187">
        <f t="shared" si="159"/>
        <v>0</v>
      </c>
      <c r="W555" s="187">
        <f t="shared" si="160"/>
        <v>0</v>
      </c>
      <c r="X555" s="187">
        <f t="shared" si="161"/>
        <v>0</v>
      </c>
      <c r="Y555" s="187">
        <f t="shared" si="162"/>
        <v>0</v>
      </c>
      <c r="Z555" s="187">
        <f t="shared" si="163"/>
        <v>-1</v>
      </c>
      <c r="AA555" s="183">
        <f t="shared" si="164"/>
        <v>0</v>
      </c>
      <c r="AB555" s="187">
        <f t="shared" si="165"/>
        <v>0</v>
      </c>
      <c r="AC555" s="183">
        <f t="shared" si="166"/>
        <v>0</v>
      </c>
      <c r="AD555" s="188">
        <f t="shared" si="167"/>
        <v>4.1666666664241347E-2</v>
      </c>
      <c r="AE555" s="188">
        <f t="shared" si="168"/>
        <v>0</v>
      </c>
      <c r="AF555" s="188">
        <f t="shared" si="169"/>
        <v>4.1666666664241347E-2</v>
      </c>
      <c r="AG555" s="188">
        <f t="shared" si="170"/>
        <v>0</v>
      </c>
    </row>
    <row r="556" spans="2:33" ht="15" customHeight="1" x14ac:dyDescent="0.15">
      <c r="B556" s="174" t="s">
        <v>7</v>
      </c>
      <c r="C556" s="175" t="s">
        <v>13</v>
      </c>
      <c r="D556" s="176" t="str">
        <f t="shared" si="152"/>
        <v>C</v>
      </c>
      <c r="E556" s="177" t="d">
        <v>2021-04-15T17:15:00.000</v>
      </c>
      <c r="F556" s="178" t="s">
        <v>103</v>
      </c>
      <c r="G556" s="179">
        <v>108.628</v>
      </c>
      <c r="H556" s="179">
        <v>108.82</v>
      </c>
      <c r="I556" s="180">
        <f t="shared" si="153"/>
        <v>0.19199999999999307</v>
      </c>
      <c r="J556" s="179">
        <v>107.422</v>
      </c>
      <c r="K556" s="177" t="d">
        <v>2021-04-16T04:03:59.99999994412064550</v>
      </c>
      <c r="L556" s="179">
        <v>108.82</v>
      </c>
      <c r="M556" s="181">
        <f t="shared" si="154"/>
        <v>-0.192</v>
      </c>
      <c r="N556" s="182">
        <f t="shared" si="155"/>
        <v>-1</v>
      </c>
      <c r="O556" s="183">
        <f t="shared" si="156"/>
        <v>0</v>
      </c>
      <c r="P556" s="184">
        <f t="shared" si="157"/>
        <v>0</v>
      </c>
      <c r="Q556" s="184">
        <f t="shared" si="158"/>
        <v>-1</v>
      </c>
      <c r="R55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31145</v>
      </c>
      <c r="T55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31395</v>
      </c>
      <c r="U556" s="186">
        <f ca="1">IF(Tabla33610673[[#This Row],[Equity]]&lt;Tabla33610673[[#This Row],[Equity Peak]],(Tabla33610673[[#This Row],[Equity Peak]]-Tabla33610673[[#This Row],[Equity]])/Tabla33610673[[#This Row],[Equity Peak]],"")</f>
        <v>7.9630514413123101E-3</v>
      </c>
      <c r="V556" s="187">
        <f t="shared" si="159"/>
        <v>-1</v>
      </c>
      <c r="W556" s="187">
        <f t="shared" si="160"/>
        <v>0</v>
      </c>
      <c r="X556" s="187">
        <f t="shared" si="161"/>
        <v>0</v>
      </c>
      <c r="Y556" s="187">
        <f t="shared" si="162"/>
        <v>0</v>
      </c>
      <c r="Z556" s="187">
        <f t="shared" si="163"/>
        <v>0</v>
      </c>
      <c r="AA556" s="183">
        <f t="shared" si="164"/>
        <v>0</v>
      </c>
      <c r="AB556" s="187">
        <f t="shared" si="165"/>
        <v>0</v>
      </c>
      <c r="AC556" s="183">
        <f t="shared" si="166"/>
        <v>0</v>
      </c>
      <c r="AD556" s="188">
        <f t="shared" si="167"/>
        <v>0.45069444444379769</v>
      </c>
      <c r="AE556" s="188">
        <f t="shared" si="168"/>
        <v>0</v>
      </c>
      <c r="AF556" s="188">
        <f t="shared" si="169"/>
        <v>0.45069444444379769</v>
      </c>
      <c r="AG556" s="188">
        <f t="shared" si="170"/>
        <v>0</v>
      </c>
    </row>
    <row r="557" spans="2:33" ht="15" customHeight="1" x14ac:dyDescent="0.15">
      <c r="B557" s="174" t="s">
        <v>19</v>
      </c>
      <c r="C557" s="175" t="s">
        <v>15</v>
      </c>
      <c r="D557" s="176" t="str">
        <f t="shared" si="152"/>
        <v>C</v>
      </c>
      <c r="E557" s="177" t="d">
        <v>2021-04-15T08:15:00.000</v>
      </c>
      <c r="F557" s="178" t="s">
        <v>77</v>
      </c>
      <c r="G557" s="179">
        <v>1741.8</v>
      </c>
      <c r="H557" s="179">
        <v>1737.23</v>
      </c>
      <c r="I557" s="180">
        <f t="shared" si="153"/>
        <v>4.5699999999999363</v>
      </c>
      <c r="J557" s="179">
        <v>1763.73</v>
      </c>
      <c r="K557" s="177" t="d">
        <v>2021-04-15T17:07:59.99999988824129100</v>
      </c>
      <c r="L557" s="179">
        <v>1763.73</v>
      </c>
      <c r="M557" s="181">
        <f t="shared" si="154"/>
        <v>21.93</v>
      </c>
      <c r="N557" s="182">
        <f t="shared" si="155"/>
        <v>4.8</v>
      </c>
      <c r="O557" s="183">
        <f t="shared" si="156"/>
        <v>0</v>
      </c>
      <c r="P557" s="184">
        <f t="shared" si="157"/>
        <v>4.8</v>
      </c>
      <c r="Q557" s="184">
        <f t="shared" si="158"/>
        <v>0</v>
      </c>
      <c r="R55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31395</v>
      </c>
      <c r="T55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31395</v>
      </c>
      <c r="U557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557" s="187">
        <f t="shared" si="159"/>
        <v>0</v>
      </c>
      <c r="W557" s="187">
        <f t="shared" si="160"/>
        <v>0</v>
      </c>
      <c r="X557" s="187">
        <f t="shared" si="161"/>
        <v>4.8</v>
      </c>
      <c r="Y557" s="187">
        <f t="shared" si="162"/>
        <v>0</v>
      </c>
      <c r="Z557" s="187">
        <f t="shared" si="163"/>
        <v>0</v>
      </c>
      <c r="AA557" s="183">
        <f t="shared" si="164"/>
        <v>0</v>
      </c>
      <c r="AB557" s="187">
        <f t="shared" si="165"/>
        <v>0</v>
      </c>
      <c r="AC557" s="183">
        <f t="shared" si="166"/>
        <v>0</v>
      </c>
      <c r="AD557" s="188">
        <f t="shared" si="167"/>
        <v>0.37013888888759539</v>
      </c>
      <c r="AE557" s="188">
        <f t="shared" si="168"/>
        <v>0.37013888888759539</v>
      </c>
      <c r="AF557" s="188">
        <f t="shared" si="169"/>
        <v>0</v>
      </c>
      <c r="AG557" s="188">
        <f t="shared" si="170"/>
        <v>0</v>
      </c>
    </row>
    <row r="558" spans="2:33" ht="15" customHeight="1" x14ac:dyDescent="0.15">
      <c r="B558" s="174" t="s">
        <v>5</v>
      </c>
      <c r="C558" s="175" t="s">
        <v>15</v>
      </c>
      <c r="D558" s="176" t="str">
        <f t="shared" si="152"/>
        <v>C</v>
      </c>
      <c r="E558" s="177" t="d">
        <v>2021-04-13T21:14:59.99999979045242400</v>
      </c>
      <c r="F558" s="178" t="s">
        <v>82</v>
      </c>
      <c r="G558" s="179">
        <v>4140.43</v>
      </c>
      <c r="H558" s="179">
        <v>4128.47</v>
      </c>
      <c r="I558" s="180">
        <f t="shared" si="153"/>
        <v>11.960000000000036</v>
      </c>
      <c r="J558" s="179">
        <v>4218.2</v>
      </c>
      <c r="K558" s="177" t="d">
        <v>2021-04-14T20:51:00.00000012572854425</v>
      </c>
      <c r="L558" s="179">
        <v>4140.63</v>
      </c>
      <c r="M558" s="181">
        <f t="shared" si="154"/>
        <v>0.2</v>
      </c>
      <c r="N558" s="182">
        <f t="shared" si="155"/>
        <v>0.02</v>
      </c>
      <c r="O558" s="183">
        <f t="shared" si="156"/>
        <v>0</v>
      </c>
      <c r="P558" s="184">
        <f t="shared" si="157"/>
        <v>0.02</v>
      </c>
      <c r="Q558" s="184">
        <f t="shared" si="158"/>
        <v>0</v>
      </c>
      <c r="R55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30195</v>
      </c>
      <c r="T55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30702.5</v>
      </c>
      <c r="U558" s="186">
        <f ca="1">IF(Tabla33610673[[#This Row],[Equity]]&lt;Tabla33610673[[#This Row],[Equity Peak]],(Tabla33610673[[#This Row],[Equity Peak]]-Tabla33610673[[#This Row],[Equity]])/Tabla33610673[[#This Row],[Equity Peak]],"")</f>
        <v>1.6529598566891946E-2</v>
      </c>
      <c r="V558" s="187">
        <f t="shared" si="159"/>
        <v>0</v>
      </c>
      <c r="W558" s="187">
        <f t="shared" si="160"/>
        <v>0</v>
      </c>
      <c r="X558" s="187">
        <f t="shared" si="161"/>
        <v>0</v>
      </c>
      <c r="Y558" s="187">
        <f t="shared" si="162"/>
        <v>0</v>
      </c>
      <c r="Z558" s="187">
        <f t="shared" si="163"/>
        <v>0.02</v>
      </c>
      <c r="AA558" s="183">
        <f t="shared" si="164"/>
        <v>0</v>
      </c>
      <c r="AB558" s="187">
        <f t="shared" si="165"/>
        <v>0</v>
      </c>
      <c r="AC558" s="183">
        <f t="shared" si="166"/>
        <v>0</v>
      </c>
      <c r="AD558" s="188">
        <f t="shared" si="167"/>
        <v>0.98333333333721384</v>
      </c>
      <c r="AE558" s="188">
        <f t="shared" si="168"/>
        <v>0.98333333333721384</v>
      </c>
      <c r="AF558" s="188">
        <f t="shared" si="169"/>
        <v>0</v>
      </c>
      <c r="AG558" s="188">
        <f t="shared" si="170"/>
        <v>0</v>
      </c>
    </row>
    <row r="559" spans="2:33" ht="15" customHeight="1" x14ac:dyDescent="0.15">
      <c r="B559" s="174" t="s">
        <v>5</v>
      </c>
      <c r="C559" s="175" t="s">
        <v>15</v>
      </c>
      <c r="D559" s="176" t="str">
        <f t="shared" si="152"/>
        <v>C</v>
      </c>
      <c r="E559" s="177" t="d">
        <v>2021-04-13T15:45:00.000</v>
      </c>
      <c r="F559" s="178" t="s">
        <v>81</v>
      </c>
      <c r="G559" s="179">
        <v>13896.25</v>
      </c>
      <c r="H559" s="179">
        <v>13845.93</v>
      </c>
      <c r="I559" s="180">
        <f t="shared" si="153"/>
        <v>50.319999999999709</v>
      </c>
      <c r="J559" s="179">
        <v>14198.19</v>
      </c>
      <c r="K559" s="177" t="d">
        <v>2021-04-14T16:31:00.00000019557774075</v>
      </c>
      <c r="L559" s="179">
        <v>13996.9</v>
      </c>
      <c r="M559" s="181">
        <f t="shared" si="154"/>
        <v>100.65</v>
      </c>
      <c r="N559" s="182">
        <f t="shared" si="155"/>
        <v>2</v>
      </c>
      <c r="O559" s="183">
        <f t="shared" si="156"/>
        <v>0</v>
      </c>
      <c r="P559" s="184">
        <f t="shared" si="157"/>
        <v>2</v>
      </c>
      <c r="Q559" s="184">
        <f t="shared" si="158"/>
        <v>0</v>
      </c>
      <c r="R55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30190</v>
      </c>
      <c r="T55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30702.5</v>
      </c>
      <c r="U559" s="186">
        <f ca="1">IF(Tabla33610673[[#This Row],[Equity]]&lt;Tabla33610673[[#This Row],[Equity Peak]],(Tabla33610673[[#This Row],[Equity Peak]]-Tabla33610673[[#This Row],[Equity]])/Tabla33610673[[#This Row],[Equity Peak]],"")</f>
        <v>1.6692451754743098E-2</v>
      </c>
      <c r="V559" s="187">
        <f t="shared" si="159"/>
        <v>0</v>
      </c>
      <c r="W559" s="187">
        <f t="shared" si="160"/>
        <v>0</v>
      </c>
      <c r="X559" s="187">
        <f t="shared" si="161"/>
        <v>0</v>
      </c>
      <c r="Y559" s="187">
        <f t="shared" si="162"/>
        <v>0</v>
      </c>
      <c r="Z559" s="187">
        <f t="shared" si="163"/>
        <v>2</v>
      </c>
      <c r="AA559" s="183">
        <f t="shared" si="164"/>
        <v>0</v>
      </c>
      <c r="AB559" s="187">
        <f t="shared" si="165"/>
        <v>0</v>
      </c>
      <c r="AC559" s="183">
        <f t="shared" si="166"/>
        <v>0</v>
      </c>
      <c r="AD559" s="188">
        <f t="shared" si="167"/>
        <v>1.0319444444467081</v>
      </c>
      <c r="AE559" s="188">
        <f t="shared" si="168"/>
        <v>1.0319444444467081</v>
      </c>
      <c r="AF559" s="188">
        <f t="shared" si="169"/>
        <v>0</v>
      </c>
      <c r="AG559" s="188">
        <f t="shared" si="170"/>
        <v>0</v>
      </c>
    </row>
    <row r="560" spans="2:33" ht="15" customHeight="1" x14ac:dyDescent="0.15">
      <c r="B560" s="174" t="s">
        <v>19</v>
      </c>
      <c r="C560" s="175" t="s">
        <v>15</v>
      </c>
      <c r="D560" s="176" t="str">
        <f t="shared" si="152"/>
        <v>C</v>
      </c>
      <c r="E560" s="177" t="d">
        <v>2021-04-13T15:45:00.000</v>
      </c>
      <c r="F560" s="178" t="s">
        <v>77</v>
      </c>
      <c r="G560" s="179">
        <v>1740.35</v>
      </c>
      <c r="H560" s="179">
        <v>1735.71</v>
      </c>
      <c r="I560" s="180">
        <f t="shared" si="153"/>
        <v>4.6399999999998727</v>
      </c>
      <c r="J560" s="179">
        <v>1762.6</v>
      </c>
      <c r="K560" s="177" t="d">
        <v>2021-04-14T16:18:59.999999734573066125</v>
      </c>
      <c r="L560" s="179">
        <v>1738.67</v>
      </c>
      <c r="M560" s="181">
        <f t="shared" si="154"/>
        <v>-1.68</v>
      </c>
      <c r="N560" s="182">
        <f t="shared" si="155"/>
        <v>-0.36</v>
      </c>
      <c r="O560" s="183">
        <f t="shared" si="156"/>
        <v>0</v>
      </c>
      <c r="P560" s="184">
        <f t="shared" si="157"/>
        <v>0</v>
      </c>
      <c r="Q560" s="184">
        <f t="shared" si="158"/>
        <v>-0.36</v>
      </c>
      <c r="R56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29690</v>
      </c>
      <c r="T56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30702.5</v>
      </c>
      <c r="U560" s="186">
        <f ca="1">IF(Tabla33610673[[#This Row],[Equity]]&lt;Tabla33610673[[#This Row],[Equity Peak]],(Tabla33610673[[#This Row],[Equity Peak]]-Tabla33610673[[#This Row],[Equity]])/Tabla33610673[[#This Row],[Equity Peak]],"")</f>
        <v>3.2977770539858314E-2</v>
      </c>
      <c r="V560" s="187">
        <f t="shared" si="159"/>
        <v>0</v>
      </c>
      <c r="W560" s="187">
        <f t="shared" si="160"/>
        <v>0</v>
      </c>
      <c r="X560" s="187">
        <f t="shared" si="161"/>
        <v>-0.36</v>
      </c>
      <c r="Y560" s="187">
        <f t="shared" si="162"/>
        <v>0</v>
      </c>
      <c r="Z560" s="187">
        <f t="shared" si="163"/>
        <v>0</v>
      </c>
      <c r="AA560" s="183">
        <f t="shared" si="164"/>
        <v>0</v>
      </c>
      <c r="AB560" s="187">
        <f t="shared" si="165"/>
        <v>0</v>
      </c>
      <c r="AC560" s="183">
        <f t="shared" si="166"/>
        <v>0</v>
      </c>
      <c r="AD560" s="188">
        <f t="shared" si="167"/>
        <v>1.023611111108039</v>
      </c>
      <c r="AE560" s="188">
        <f t="shared" si="168"/>
        <v>0</v>
      </c>
      <c r="AF560" s="188">
        <f t="shared" si="169"/>
        <v>1.023611111108039</v>
      </c>
      <c r="AG560" s="188">
        <f t="shared" si="170"/>
        <v>0</v>
      </c>
    </row>
    <row r="561" spans="2:33" ht="15" customHeight="1" x14ac:dyDescent="0.15">
      <c r="B561" s="174" t="s">
        <v>7</v>
      </c>
      <c r="C561" s="175" t="s">
        <v>13</v>
      </c>
      <c r="D561" s="176" t="str">
        <f t="shared" si="152"/>
        <v>C</v>
      </c>
      <c r="E561" s="177" t="d">
        <v>2021-04-14T03:00:00.000</v>
      </c>
      <c r="F561" s="178" t="s">
        <v>103</v>
      </c>
      <c r="G561" s="179">
        <v>108.92100000000001</v>
      </c>
      <c r="H561" s="179">
        <v>109.116</v>
      </c>
      <c r="I561" s="180">
        <f t="shared" si="153"/>
        <v>0.19499999999999318</v>
      </c>
      <c r="J561" s="179">
        <v>107.694</v>
      </c>
      <c r="K561" s="177" t="d">
        <v>2021-04-14T10:38:59.99999987427145575</v>
      </c>
      <c r="L561" s="179">
        <v>109.05500000000001</v>
      </c>
      <c r="M561" s="181">
        <f t="shared" si="154"/>
        <v>-0.13400000000000001</v>
      </c>
      <c r="N561" s="182">
        <f t="shared" si="155"/>
        <v>-0.69</v>
      </c>
      <c r="O561" s="183">
        <f t="shared" si="156"/>
        <v>0</v>
      </c>
      <c r="P561" s="184">
        <f t="shared" si="157"/>
        <v>0</v>
      </c>
      <c r="Q561" s="184">
        <f t="shared" si="158"/>
        <v>-0.69</v>
      </c>
      <c r="R56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29780</v>
      </c>
      <c r="T56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30702.5</v>
      </c>
      <c r="U561" s="186">
        <f ca="1">IF(Tabla33610673[[#This Row],[Equity]]&lt;Tabla33610673[[#This Row],[Equity Peak]],(Tabla33610673[[#This Row],[Equity Peak]]-Tabla33610673[[#This Row],[Equity]])/Tabla33610673[[#This Row],[Equity Peak]],"")</f>
        <v>3.004641315853758E-2</v>
      </c>
      <c r="V561" s="187">
        <f t="shared" si="159"/>
        <v>-0.69</v>
      </c>
      <c r="W561" s="187">
        <f t="shared" si="160"/>
        <v>0</v>
      </c>
      <c r="X561" s="187">
        <f t="shared" si="161"/>
        <v>0</v>
      </c>
      <c r="Y561" s="187">
        <f t="shared" si="162"/>
        <v>0</v>
      </c>
      <c r="Z561" s="187">
        <f t="shared" si="163"/>
        <v>0</v>
      </c>
      <c r="AA561" s="183">
        <f t="shared" si="164"/>
        <v>0</v>
      </c>
      <c r="AB561" s="187">
        <f t="shared" si="165"/>
        <v>0</v>
      </c>
      <c r="AC561" s="183">
        <f t="shared" si="166"/>
        <v>0</v>
      </c>
      <c r="AD561" s="188">
        <f t="shared" si="167"/>
        <v>0.31874999999854481</v>
      </c>
      <c r="AE561" s="188">
        <f t="shared" si="168"/>
        <v>0</v>
      </c>
      <c r="AF561" s="188">
        <f t="shared" si="169"/>
        <v>0.31874999999854481</v>
      </c>
      <c r="AG561" s="188">
        <f t="shared" si="170"/>
        <v>0</v>
      </c>
    </row>
    <row r="562" spans="2:33" ht="15" customHeight="1" x14ac:dyDescent="0.15">
      <c r="B562" s="174" t="s">
        <v>5</v>
      </c>
      <c r="C562" s="175" t="s">
        <v>15</v>
      </c>
      <c r="D562" s="176" t="str">
        <f t="shared" si="152"/>
        <v>C</v>
      </c>
      <c r="E562" s="177" t="d">
        <v>2021-04-14T08:00:00.00000020954757600</v>
      </c>
      <c r="F562" s="178" t="s">
        <v>80</v>
      </c>
      <c r="G562" s="179">
        <v>15293.35</v>
      </c>
      <c r="H562" s="179">
        <v>15256.7</v>
      </c>
      <c r="I562" s="180">
        <f t="shared" si="153"/>
        <v>36.649999999999636</v>
      </c>
      <c r="J562" s="179">
        <v>15562.1</v>
      </c>
      <c r="K562" s="177" t="d">
        <v>2021-04-14T10:06:59.99999990221113300</v>
      </c>
      <c r="L562" s="179">
        <v>15256.7</v>
      </c>
      <c r="M562" s="181">
        <f t="shared" si="154"/>
        <v>-36.65</v>
      </c>
      <c r="N562" s="182">
        <f t="shared" si="155"/>
        <v>-1</v>
      </c>
      <c r="O562" s="183">
        <f t="shared" si="156"/>
        <v>0</v>
      </c>
      <c r="P562" s="184">
        <f t="shared" si="157"/>
        <v>0</v>
      </c>
      <c r="Q562" s="184">
        <f t="shared" si="158"/>
        <v>-1</v>
      </c>
      <c r="R56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29952.5</v>
      </c>
      <c r="T56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30702.5</v>
      </c>
      <c r="U562" s="186">
        <f ca="1">IF(Tabla33610673[[#This Row],[Equity]]&lt;Tabla33610673[[#This Row],[Equity Peak]],(Tabla33610673[[#This Row],[Equity Peak]]-Tabla33610673[[#This Row],[Equity]])/Tabla33610673[[#This Row],[Equity Peak]],"")</f>
        <v>2.4427978177672827E-2</v>
      </c>
      <c r="V562" s="187">
        <f t="shared" si="159"/>
        <v>0</v>
      </c>
      <c r="W562" s="187">
        <f t="shared" si="160"/>
        <v>0</v>
      </c>
      <c r="X562" s="187">
        <f t="shared" si="161"/>
        <v>0</v>
      </c>
      <c r="Y562" s="187">
        <f t="shared" si="162"/>
        <v>0</v>
      </c>
      <c r="Z562" s="187">
        <f t="shared" si="163"/>
        <v>-1</v>
      </c>
      <c r="AA562" s="183">
        <f t="shared" si="164"/>
        <v>0</v>
      </c>
      <c r="AB562" s="187">
        <f t="shared" si="165"/>
        <v>0</v>
      </c>
      <c r="AC562" s="183">
        <f t="shared" si="166"/>
        <v>0</v>
      </c>
      <c r="AD562" s="188">
        <f t="shared" si="167"/>
        <v>8.819444444088731E-2</v>
      </c>
      <c r="AE562" s="188">
        <f t="shared" si="168"/>
        <v>0</v>
      </c>
      <c r="AF562" s="188">
        <f t="shared" si="169"/>
        <v>8.819444444088731E-2</v>
      </c>
      <c r="AG562" s="188">
        <f t="shared" si="170"/>
        <v>0</v>
      </c>
    </row>
    <row r="563" spans="2:33" ht="15" customHeight="1" x14ac:dyDescent="0.15">
      <c r="B563" s="174" t="s">
        <v>5</v>
      </c>
      <c r="C563" s="175" t="s">
        <v>15</v>
      </c>
      <c r="D563" s="176" t="str">
        <f t="shared" si="152"/>
        <v>C</v>
      </c>
      <c r="E563" s="177" t="d">
        <v>2021-04-13T12:59:59.99999979045242400</v>
      </c>
      <c r="F563" s="178" t="s">
        <v>80</v>
      </c>
      <c r="G563" s="179">
        <v>15284.87</v>
      </c>
      <c r="H563" s="179">
        <v>15247.2</v>
      </c>
      <c r="I563" s="180">
        <f t="shared" si="153"/>
        <v>37.670000000000073</v>
      </c>
      <c r="J563" s="179">
        <v>15561.11</v>
      </c>
      <c r="K563" s="177" t="d">
        <v>2021-04-13T13:48:59.99999994412064550</v>
      </c>
      <c r="L563" s="179">
        <v>15247.2</v>
      </c>
      <c r="M563" s="181">
        <f t="shared" si="154"/>
        <v>-37.67</v>
      </c>
      <c r="N563" s="182">
        <f t="shared" si="155"/>
        <v>-1</v>
      </c>
      <c r="O563" s="183">
        <f t="shared" si="156"/>
        <v>0</v>
      </c>
      <c r="P563" s="184">
        <f t="shared" si="157"/>
        <v>0</v>
      </c>
      <c r="Q563" s="184">
        <f t="shared" si="158"/>
        <v>-1</v>
      </c>
      <c r="R56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30202.5</v>
      </c>
      <c r="T56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30702.5</v>
      </c>
      <c r="U563" s="186">
        <f ca="1">IF(Tabla33610673[[#This Row],[Equity]]&lt;Tabla33610673[[#This Row],[Equity Peak]],(Tabla33610673[[#This Row],[Equity Peak]]-Tabla33610673[[#This Row],[Equity]])/Tabla33610673[[#This Row],[Equity Peak]],"")</f>
        <v>1.6285318785115219E-2</v>
      </c>
      <c r="V563" s="187">
        <f t="shared" si="159"/>
        <v>0</v>
      </c>
      <c r="W563" s="187">
        <f t="shared" si="160"/>
        <v>0</v>
      </c>
      <c r="X563" s="187">
        <f t="shared" si="161"/>
        <v>0</v>
      </c>
      <c r="Y563" s="187">
        <f t="shared" si="162"/>
        <v>0</v>
      </c>
      <c r="Z563" s="187">
        <f t="shared" si="163"/>
        <v>-1</v>
      </c>
      <c r="AA563" s="183">
        <f t="shared" si="164"/>
        <v>0</v>
      </c>
      <c r="AB563" s="187">
        <f t="shared" si="165"/>
        <v>0</v>
      </c>
      <c r="AC563" s="183">
        <f t="shared" si="166"/>
        <v>0</v>
      </c>
      <c r="AD563" s="188">
        <f t="shared" si="167"/>
        <v>3.4027777779556345E-2</v>
      </c>
      <c r="AE563" s="188">
        <f t="shared" si="168"/>
        <v>0</v>
      </c>
      <c r="AF563" s="188">
        <f t="shared" si="169"/>
        <v>3.4027777779556345E-2</v>
      </c>
      <c r="AG563" s="188">
        <f t="shared" si="170"/>
        <v>0</v>
      </c>
    </row>
    <row r="564" spans="2:33" ht="15" customHeight="1" x14ac:dyDescent="0.15">
      <c r="B564" s="174" t="s">
        <v>19</v>
      </c>
      <c r="C564" s="175" t="s">
        <v>15</v>
      </c>
      <c r="D564" s="176" t="str">
        <f t="shared" si="152"/>
        <v>C</v>
      </c>
      <c r="E564" s="177" t="d">
        <v>2021-04-12T14:29:59.99999979045242400</v>
      </c>
      <c r="F564" s="178" t="s">
        <v>77</v>
      </c>
      <c r="G564" s="179">
        <v>1743.88</v>
      </c>
      <c r="H564" s="179">
        <v>1739.33</v>
      </c>
      <c r="I564" s="180">
        <f t="shared" si="153"/>
        <v>4.5500000000001819</v>
      </c>
      <c r="J564" s="179">
        <v>1765.71</v>
      </c>
      <c r="K564" s="177" t="d">
        <v>2021-04-12T15:53:59.99999987427145575</v>
      </c>
      <c r="L564" s="179">
        <v>1739.33</v>
      </c>
      <c r="M564" s="181">
        <f t="shared" si="154"/>
        <v>-4.55</v>
      </c>
      <c r="N564" s="182">
        <f t="shared" si="155"/>
        <v>-1</v>
      </c>
      <c r="O564" s="183">
        <f t="shared" si="156"/>
        <v>0</v>
      </c>
      <c r="P564" s="184">
        <f t="shared" si="157"/>
        <v>0</v>
      </c>
      <c r="Q564" s="184">
        <f t="shared" si="158"/>
        <v>-1</v>
      </c>
      <c r="R56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30452.5</v>
      </c>
      <c r="T56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30702.5</v>
      </c>
      <c r="U564" s="186">
        <f ca="1">IF(Tabla33610673[[#This Row],[Equity]]&lt;Tabla33610673[[#This Row],[Equity Peak]],(Tabla33610673[[#This Row],[Equity Peak]]-Tabla33610673[[#This Row],[Equity]])/Tabla33610673[[#This Row],[Equity Peak]],"")</f>
        <v>8.1426593925576097E-3</v>
      </c>
      <c r="V564" s="187">
        <f t="shared" si="159"/>
        <v>0</v>
      </c>
      <c r="W564" s="187">
        <f t="shared" si="160"/>
        <v>0</v>
      </c>
      <c r="X564" s="187">
        <f t="shared" si="161"/>
        <v>-1</v>
      </c>
      <c r="Y564" s="187">
        <f t="shared" si="162"/>
        <v>0</v>
      </c>
      <c r="Z564" s="187">
        <f t="shared" si="163"/>
        <v>0</v>
      </c>
      <c r="AA564" s="183">
        <f t="shared" si="164"/>
        <v>0</v>
      </c>
      <c r="AB564" s="187">
        <f t="shared" si="165"/>
        <v>0</v>
      </c>
      <c r="AC564" s="183">
        <f t="shared" si="166"/>
        <v>0</v>
      </c>
      <c r="AD564" s="188">
        <f t="shared" si="167"/>
        <v>5.8333333334303461E-2</v>
      </c>
      <c r="AE564" s="188">
        <f t="shared" si="168"/>
        <v>0</v>
      </c>
      <c r="AF564" s="188">
        <f t="shared" si="169"/>
        <v>5.8333333334303461E-2</v>
      </c>
      <c r="AG564" s="188">
        <f t="shared" si="170"/>
        <v>0</v>
      </c>
    </row>
    <row r="565" spans="2:33" ht="15" customHeight="1" x14ac:dyDescent="0.15">
      <c r="B565" s="174" t="s">
        <v>7</v>
      </c>
      <c r="C565" s="175" t="s">
        <v>13</v>
      </c>
      <c r="D565" s="176" t="str">
        <f t="shared" si="152"/>
        <v>C</v>
      </c>
      <c r="E565" s="177" t="d">
        <v>2021-04-07T16:15:00.00000020954757600</v>
      </c>
      <c r="F565" s="178" t="s">
        <v>102</v>
      </c>
      <c r="G565" s="179">
        <v>151.10499999999999</v>
      </c>
      <c r="H565" s="179">
        <v>151.46600000000001</v>
      </c>
      <c r="I565" s="180">
        <f t="shared" si="153"/>
        <v>0.36100000000001842</v>
      </c>
      <c r="J565" s="179">
        <v>149.18</v>
      </c>
      <c r="K565" s="177" t="d">
        <v>2021-04-09T10:48:59.99999994412064550</v>
      </c>
      <c r="L565" s="179">
        <v>150.04499999999999</v>
      </c>
      <c r="M565" s="181">
        <f t="shared" si="154"/>
        <v>1.06</v>
      </c>
      <c r="N565" s="182">
        <f t="shared" si="155"/>
        <v>2.94</v>
      </c>
      <c r="O565" s="183">
        <f t="shared" si="156"/>
        <v>0</v>
      </c>
      <c r="P565" s="184">
        <f t="shared" si="157"/>
        <v>2.94</v>
      </c>
      <c r="Q565" s="184">
        <f t="shared" si="158"/>
        <v>0</v>
      </c>
      <c r="R56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30702.5</v>
      </c>
      <c r="T56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30702.5</v>
      </c>
      <c r="U565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565" s="187">
        <f t="shared" si="159"/>
        <v>2.94</v>
      </c>
      <c r="W565" s="187">
        <f t="shared" si="160"/>
        <v>0</v>
      </c>
      <c r="X565" s="187">
        <f t="shared" si="161"/>
        <v>0</v>
      </c>
      <c r="Y565" s="187">
        <f t="shared" si="162"/>
        <v>0</v>
      </c>
      <c r="Z565" s="187">
        <f t="shared" si="163"/>
        <v>0</v>
      </c>
      <c r="AA565" s="183">
        <f t="shared" si="164"/>
        <v>0</v>
      </c>
      <c r="AB565" s="187">
        <f t="shared" si="165"/>
        <v>0</v>
      </c>
      <c r="AC565" s="183">
        <f t="shared" si="166"/>
        <v>0</v>
      </c>
      <c r="AD565" s="188">
        <f t="shared" si="167"/>
        <v>1.773611111108039</v>
      </c>
      <c r="AE565" s="188">
        <f t="shared" si="168"/>
        <v>1.773611111108039</v>
      </c>
      <c r="AF565" s="188">
        <f t="shared" si="169"/>
        <v>0</v>
      </c>
      <c r="AG565" s="188">
        <f t="shared" si="170"/>
        <v>0</v>
      </c>
    </row>
    <row r="566" spans="2:33" ht="15" customHeight="1" x14ac:dyDescent="0.15">
      <c r="B566" s="174" t="s">
        <v>19</v>
      </c>
      <c r="C566" s="175" t="s">
        <v>15</v>
      </c>
      <c r="D566" s="176" t="str">
        <f t="shared" si="152"/>
        <v>C</v>
      </c>
      <c r="E566" s="177" t="d">
        <v>2021-04-08T08:45:00.00000020954757600</v>
      </c>
      <c r="F566" s="178" t="s">
        <v>77</v>
      </c>
      <c r="G566" s="179">
        <v>1743.21</v>
      </c>
      <c r="H566" s="179">
        <v>1738.36</v>
      </c>
      <c r="I566" s="180">
        <f t="shared" si="153"/>
        <v>4.8500000000001364</v>
      </c>
      <c r="J566" s="179">
        <v>1766.48</v>
      </c>
      <c r="K566" s="177" t="d">
        <v>2021-04-09T03:24:00.00000029336660775</v>
      </c>
      <c r="L566" s="179">
        <v>1753.35</v>
      </c>
      <c r="M566" s="181">
        <f t="shared" si="154"/>
        <v>10.14</v>
      </c>
      <c r="N566" s="182">
        <f t="shared" si="155"/>
        <v>2.09</v>
      </c>
      <c r="O566" s="183">
        <f t="shared" si="156"/>
        <v>0</v>
      </c>
      <c r="P566" s="184">
        <f t="shared" si="157"/>
        <v>2.09</v>
      </c>
      <c r="Q566" s="184">
        <f t="shared" si="158"/>
        <v>0</v>
      </c>
      <c r="R56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29967.5</v>
      </c>
      <c r="T56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29967.5</v>
      </c>
      <c r="U566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566" s="187">
        <f t="shared" si="159"/>
        <v>0</v>
      </c>
      <c r="W566" s="187">
        <f t="shared" si="160"/>
        <v>0</v>
      </c>
      <c r="X566" s="187">
        <f t="shared" si="161"/>
        <v>2.09</v>
      </c>
      <c r="Y566" s="187">
        <f t="shared" si="162"/>
        <v>0</v>
      </c>
      <c r="Z566" s="187">
        <f t="shared" si="163"/>
        <v>0</v>
      </c>
      <c r="AA566" s="183">
        <f t="shared" si="164"/>
        <v>0</v>
      </c>
      <c r="AB566" s="187">
        <f t="shared" si="165"/>
        <v>0</v>
      </c>
      <c r="AC566" s="183">
        <f t="shared" si="166"/>
        <v>0</v>
      </c>
      <c r="AD566" s="188">
        <f t="shared" si="167"/>
        <v>0.77708333333430346</v>
      </c>
      <c r="AE566" s="188">
        <f t="shared" si="168"/>
        <v>0.77708333333430346</v>
      </c>
      <c r="AF566" s="188">
        <f t="shared" si="169"/>
        <v>0</v>
      </c>
      <c r="AG566" s="188">
        <f t="shared" si="170"/>
        <v>0</v>
      </c>
    </row>
    <row r="567" spans="2:33" ht="15" customHeight="1" x14ac:dyDescent="0.15">
      <c r="B567" s="174" t="s">
        <v>5</v>
      </c>
      <c r="C567" s="175" t="s">
        <v>15</v>
      </c>
      <c r="D567" s="176" t="str">
        <f t="shared" si="152"/>
        <v>C</v>
      </c>
      <c r="E567" s="177" t="d">
        <v>2021-04-08T04:44:59.99999979045242400</v>
      </c>
      <c r="F567" s="178" t="s">
        <v>81</v>
      </c>
      <c r="G567" s="179">
        <v>13681.67</v>
      </c>
      <c r="H567" s="179">
        <v>13631.11</v>
      </c>
      <c r="I567" s="180">
        <f t="shared" si="153"/>
        <v>50.559999999999491</v>
      </c>
      <c r="J567" s="179">
        <v>13985.01</v>
      </c>
      <c r="K567" s="177" t="d">
        <v>2021-04-08T17:09:00.00000008381903175</v>
      </c>
      <c r="L567" s="179">
        <v>13714.97</v>
      </c>
      <c r="M567" s="181">
        <f t="shared" si="154"/>
        <v>33.299999999999997</v>
      </c>
      <c r="N567" s="182">
        <f t="shared" si="155"/>
        <v>0.66</v>
      </c>
      <c r="O567" s="183">
        <f t="shared" si="156"/>
        <v>0</v>
      </c>
      <c r="P567" s="184">
        <f t="shared" si="157"/>
        <v>0.66</v>
      </c>
      <c r="Q567" s="184">
        <f t="shared" si="158"/>
        <v>0</v>
      </c>
      <c r="R56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29445</v>
      </c>
      <c r="T56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29640</v>
      </c>
      <c r="U567" s="186">
        <f ca="1">IF(Tabla33610673[[#This Row],[Equity]]&lt;Tabla33610673[[#This Row],[Equity Peak]],(Tabla33610673[[#This Row],[Equity Peak]]-Tabla33610673[[#This Row],[Equity]])/Tabla33610673[[#This Row],[Equity Peak]],"")</f>
        <v>6.5789473684210523E-3</v>
      </c>
      <c r="V567" s="187">
        <f t="shared" si="159"/>
        <v>0</v>
      </c>
      <c r="W567" s="187">
        <f t="shared" si="160"/>
        <v>0</v>
      </c>
      <c r="X567" s="187">
        <f t="shared" si="161"/>
        <v>0</v>
      </c>
      <c r="Y567" s="187">
        <f t="shared" si="162"/>
        <v>0</v>
      </c>
      <c r="Z567" s="187">
        <f t="shared" si="163"/>
        <v>0.66</v>
      </c>
      <c r="AA567" s="183">
        <f t="shared" si="164"/>
        <v>0</v>
      </c>
      <c r="AB567" s="187">
        <f t="shared" si="165"/>
        <v>0</v>
      </c>
      <c r="AC567" s="183">
        <f t="shared" si="166"/>
        <v>0</v>
      </c>
      <c r="AD567" s="188">
        <f t="shared" si="167"/>
        <v>0.51666666667006211</v>
      </c>
      <c r="AE567" s="188">
        <f t="shared" si="168"/>
        <v>0.51666666667006211</v>
      </c>
      <c r="AF567" s="188">
        <f t="shared" si="169"/>
        <v>0</v>
      </c>
      <c r="AG567" s="188">
        <f t="shared" si="170"/>
        <v>0</v>
      </c>
    </row>
    <row r="568" spans="2:33" ht="15" customHeight="1" x14ac:dyDescent="0.15">
      <c r="B568" s="174" t="s">
        <v>5</v>
      </c>
      <c r="C568" s="175" t="s">
        <v>15</v>
      </c>
      <c r="D568" s="176" t="str">
        <f t="shared" si="152"/>
        <v>C</v>
      </c>
      <c r="E568" s="177" t="d">
        <v>2021-04-07T23:29:59.99999979045242400</v>
      </c>
      <c r="F568" s="178" t="s">
        <v>82</v>
      </c>
      <c r="G568" s="179">
        <v>4084.8</v>
      </c>
      <c r="H568" s="179">
        <v>4073.76</v>
      </c>
      <c r="I568" s="180">
        <f t="shared" si="153"/>
        <v>11.039999999999964</v>
      </c>
      <c r="J568" s="179">
        <v>4156.55</v>
      </c>
      <c r="K568" s="177" t="d">
        <v>2021-04-08T11:39:00.00000029336660775</v>
      </c>
      <c r="L568" s="179">
        <v>4090.93</v>
      </c>
      <c r="M568" s="181">
        <f t="shared" si="154"/>
        <v>6.13</v>
      </c>
      <c r="N568" s="182">
        <f t="shared" si="155"/>
        <v>0.56000000000000005</v>
      </c>
      <c r="O568" s="183">
        <f t="shared" si="156"/>
        <v>0</v>
      </c>
      <c r="P568" s="184">
        <f t="shared" si="157"/>
        <v>0.56000000000000005</v>
      </c>
      <c r="Q568" s="184">
        <f t="shared" si="158"/>
        <v>0</v>
      </c>
      <c r="R56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29280</v>
      </c>
      <c r="T56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29640</v>
      </c>
      <c r="U568" s="186">
        <f ca="1">IF(Tabla33610673[[#This Row],[Equity]]&lt;Tabla33610673[[#This Row],[Equity Peak]],(Tabla33610673[[#This Row],[Equity Peak]]-Tabla33610673[[#This Row],[Equity]])/Tabla33610673[[#This Row],[Equity Peak]],"")</f>
        <v>1.2145748987854251E-2</v>
      </c>
      <c r="V568" s="187">
        <f t="shared" si="159"/>
        <v>0</v>
      </c>
      <c r="W568" s="187">
        <f t="shared" si="160"/>
        <v>0</v>
      </c>
      <c r="X568" s="187">
        <f t="shared" si="161"/>
        <v>0</v>
      </c>
      <c r="Y568" s="187">
        <f t="shared" si="162"/>
        <v>0</v>
      </c>
      <c r="Z568" s="187">
        <f t="shared" si="163"/>
        <v>0.56000000000000005</v>
      </c>
      <c r="AA568" s="183">
        <f t="shared" si="164"/>
        <v>0</v>
      </c>
      <c r="AB568" s="187">
        <f t="shared" si="165"/>
        <v>0</v>
      </c>
      <c r="AC568" s="183">
        <f t="shared" si="166"/>
        <v>0</v>
      </c>
      <c r="AD568" s="188">
        <f t="shared" si="167"/>
        <v>0.50625000000582077</v>
      </c>
      <c r="AE568" s="188">
        <f t="shared" si="168"/>
        <v>0.50625000000582077</v>
      </c>
      <c r="AF568" s="188">
        <f t="shared" si="169"/>
        <v>0</v>
      </c>
      <c r="AG568" s="188">
        <f t="shared" si="170"/>
        <v>0</v>
      </c>
    </row>
    <row r="569" spans="2:33" ht="15" customHeight="1" x14ac:dyDescent="0.15">
      <c r="B569" s="174" t="s">
        <v>19</v>
      </c>
      <c r="C569" s="175" t="s">
        <v>15</v>
      </c>
      <c r="D569" s="176" t="str">
        <f t="shared" si="152"/>
        <v>C</v>
      </c>
      <c r="E569" s="177" t="d">
        <v>2021-04-07T18:14:59.99999979045242400</v>
      </c>
      <c r="F569" s="178" t="s">
        <v>77</v>
      </c>
      <c r="G569" s="179">
        <v>1742.54</v>
      </c>
      <c r="H569" s="179">
        <v>1737.38</v>
      </c>
      <c r="I569" s="180">
        <f t="shared" si="153"/>
        <v>5.1599999999998545</v>
      </c>
      <c r="J569" s="179">
        <v>1767.31</v>
      </c>
      <c r="K569" s="177" t="d">
        <v>2021-04-07T22:09:00.00000029336660775</v>
      </c>
      <c r="L569" s="179">
        <v>1737.38</v>
      </c>
      <c r="M569" s="181">
        <f t="shared" si="154"/>
        <v>-5.16</v>
      </c>
      <c r="N569" s="182">
        <f t="shared" si="155"/>
        <v>-1</v>
      </c>
      <c r="O569" s="183">
        <f t="shared" si="156"/>
        <v>0</v>
      </c>
      <c r="P569" s="184">
        <f t="shared" si="157"/>
        <v>0</v>
      </c>
      <c r="Q569" s="184">
        <f t="shared" si="158"/>
        <v>-1</v>
      </c>
      <c r="R56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29140</v>
      </c>
      <c r="T56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29640</v>
      </c>
      <c r="U569" s="186">
        <f ca="1">IF(Tabla33610673[[#This Row],[Equity]]&lt;Tabla33610673[[#This Row],[Equity Peak]],(Tabla33610673[[#This Row],[Equity Peak]]-Tabla33610673[[#This Row],[Equity]])/Tabla33610673[[#This Row],[Equity Peak]],"")</f>
        <v>1.6869095816464237E-2</v>
      </c>
      <c r="V569" s="187">
        <f t="shared" si="159"/>
        <v>0</v>
      </c>
      <c r="W569" s="187">
        <f t="shared" si="160"/>
        <v>0</v>
      </c>
      <c r="X569" s="187">
        <f t="shared" si="161"/>
        <v>-1</v>
      </c>
      <c r="Y569" s="187">
        <f t="shared" si="162"/>
        <v>0</v>
      </c>
      <c r="Z569" s="187">
        <f t="shared" si="163"/>
        <v>0</v>
      </c>
      <c r="AA569" s="183">
        <f t="shared" si="164"/>
        <v>0</v>
      </c>
      <c r="AB569" s="187">
        <f t="shared" si="165"/>
        <v>0</v>
      </c>
      <c r="AC569" s="183">
        <f t="shared" si="166"/>
        <v>0</v>
      </c>
      <c r="AD569" s="188">
        <f t="shared" si="167"/>
        <v>0.16250000000582077</v>
      </c>
      <c r="AE569" s="188">
        <f t="shared" si="168"/>
        <v>0</v>
      </c>
      <c r="AF569" s="188">
        <f t="shared" si="169"/>
        <v>0.16250000000582077</v>
      </c>
      <c r="AG569" s="188">
        <f t="shared" si="170"/>
        <v>0</v>
      </c>
    </row>
    <row r="570" spans="2:33" ht="15" customHeight="1" x14ac:dyDescent="0.15">
      <c r="B570" s="174" t="s">
        <v>5</v>
      </c>
      <c r="C570" s="175" t="s">
        <v>15</v>
      </c>
      <c r="D570" s="176" t="str">
        <f t="shared" si="152"/>
        <v>C</v>
      </c>
      <c r="E570" s="177" t="d">
        <v>2021-04-07T17:29:59.99999979045242400</v>
      </c>
      <c r="F570" s="178" t="s">
        <v>82</v>
      </c>
      <c r="G570" s="179">
        <v>4083.8</v>
      </c>
      <c r="H570" s="179">
        <v>4072.79</v>
      </c>
      <c r="I570" s="180">
        <f t="shared" si="153"/>
        <v>11.010000000000218</v>
      </c>
      <c r="J570" s="179">
        <v>4155.37</v>
      </c>
      <c r="K570" s="177" t="d">
        <v>2021-04-07T18:39:00.00000008381903175</v>
      </c>
      <c r="L570" s="179">
        <v>4072.79</v>
      </c>
      <c r="M570" s="181">
        <f t="shared" si="154"/>
        <v>-11.01</v>
      </c>
      <c r="N570" s="182">
        <f t="shared" si="155"/>
        <v>-1</v>
      </c>
      <c r="O570" s="183">
        <f t="shared" si="156"/>
        <v>0</v>
      </c>
      <c r="P570" s="184">
        <f t="shared" si="157"/>
        <v>0</v>
      </c>
      <c r="Q570" s="184">
        <f t="shared" si="158"/>
        <v>-1</v>
      </c>
      <c r="R57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29390</v>
      </c>
      <c r="T57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29640</v>
      </c>
      <c r="U570" s="186">
        <f ca="1">IF(Tabla33610673[[#This Row],[Equity]]&lt;Tabla33610673[[#This Row],[Equity Peak]],(Tabla33610673[[#This Row],[Equity Peak]]-Tabla33610673[[#This Row],[Equity]])/Tabla33610673[[#This Row],[Equity Peak]],"")</f>
        <v>8.4345479082321186E-3</v>
      </c>
      <c r="V570" s="187">
        <f t="shared" si="159"/>
        <v>0</v>
      </c>
      <c r="W570" s="187">
        <f t="shared" si="160"/>
        <v>0</v>
      </c>
      <c r="X570" s="187">
        <f t="shared" si="161"/>
        <v>0</v>
      </c>
      <c r="Y570" s="187">
        <f t="shared" si="162"/>
        <v>0</v>
      </c>
      <c r="Z570" s="187">
        <f t="shared" si="163"/>
        <v>-1</v>
      </c>
      <c r="AA570" s="183">
        <f t="shared" si="164"/>
        <v>0</v>
      </c>
      <c r="AB570" s="187">
        <f t="shared" si="165"/>
        <v>0</v>
      </c>
      <c r="AC570" s="183">
        <f t="shared" si="166"/>
        <v>0</v>
      </c>
      <c r="AD570" s="188">
        <f t="shared" si="167"/>
        <v>4.7916666670062114E-2</v>
      </c>
      <c r="AE570" s="188">
        <f t="shared" si="168"/>
        <v>0</v>
      </c>
      <c r="AF570" s="188">
        <f t="shared" si="169"/>
        <v>4.7916666670062114E-2</v>
      </c>
      <c r="AG570" s="188">
        <f t="shared" si="170"/>
        <v>0</v>
      </c>
    </row>
    <row r="571" spans="2:33" ht="15" customHeight="1" x14ac:dyDescent="0.15">
      <c r="B571" s="174" t="s">
        <v>7</v>
      </c>
      <c r="C571" s="175" t="s">
        <v>13</v>
      </c>
      <c r="D571" s="176" t="str">
        <f t="shared" si="152"/>
        <v>C</v>
      </c>
      <c r="E571" s="177" t="d">
        <v>2021-04-06T15:45:00.000</v>
      </c>
      <c r="F571" s="178" t="s">
        <v>102</v>
      </c>
      <c r="G571" s="179">
        <v>152.40299999999999</v>
      </c>
      <c r="H571" s="179">
        <v>152.666</v>
      </c>
      <c r="I571" s="180">
        <f t="shared" si="153"/>
        <v>0.26300000000000523</v>
      </c>
      <c r="J571" s="179">
        <v>150.99799999999999</v>
      </c>
      <c r="K571" s="177" t="d">
        <v>2021-04-07T10:24:00.00000008381903175</v>
      </c>
      <c r="L571" s="179">
        <v>151.726</v>
      </c>
      <c r="M571" s="181">
        <f t="shared" si="154"/>
        <v>0.67700000000000005</v>
      </c>
      <c r="N571" s="182">
        <f t="shared" si="155"/>
        <v>2.57</v>
      </c>
      <c r="O571" s="183">
        <f t="shared" si="156"/>
        <v>0</v>
      </c>
      <c r="P571" s="184">
        <f t="shared" si="157"/>
        <v>2.57</v>
      </c>
      <c r="Q571" s="184">
        <f t="shared" si="158"/>
        <v>0</v>
      </c>
      <c r="R57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29640</v>
      </c>
      <c r="T57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29640</v>
      </c>
      <c r="U571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571" s="187">
        <f t="shared" si="159"/>
        <v>2.57</v>
      </c>
      <c r="W571" s="187">
        <f t="shared" si="160"/>
        <v>0</v>
      </c>
      <c r="X571" s="187">
        <f t="shared" si="161"/>
        <v>0</v>
      </c>
      <c r="Y571" s="187">
        <f t="shared" si="162"/>
        <v>0</v>
      </c>
      <c r="Z571" s="187">
        <f t="shared" si="163"/>
        <v>0</v>
      </c>
      <c r="AA571" s="183">
        <f t="shared" si="164"/>
        <v>0</v>
      </c>
      <c r="AB571" s="187">
        <f t="shared" si="165"/>
        <v>0</v>
      </c>
      <c r="AC571" s="183">
        <f t="shared" si="166"/>
        <v>0</v>
      </c>
      <c r="AD571" s="188">
        <f t="shared" si="167"/>
        <v>0.77708333333430346</v>
      </c>
      <c r="AE571" s="188">
        <f t="shared" si="168"/>
        <v>0.77708333333430346</v>
      </c>
      <c r="AF571" s="188">
        <f t="shared" si="169"/>
        <v>0</v>
      </c>
      <c r="AG571" s="188">
        <f t="shared" si="170"/>
        <v>0</v>
      </c>
    </row>
    <row r="572" spans="2:33" ht="15" customHeight="1" x14ac:dyDescent="0.15">
      <c r="B572" s="174" t="s">
        <v>5</v>
      </c>
      <c r="C572" s="175" t="s">
        <v>15</v>
      </c>
      <c r="D572" s="176" t="str">
        <f t="shared" si="152"/>
        <v>C</v>
      </c>
      <c r="E572" s="177" t="d">
        <v>2021-04-01T15:59:59.99999979045242400</v>
      </c>
      <c r="F572" s="178" t="s">
        <v>82</v>
      </c>
      <c r="G572" s="179">
        <v>3997.27</v>
      </c>
      <c r="H572" s="179">
        <v>3980.45</v>
      </c>
      <c r="I572" s="180">
        <f t="shared" si="153"/>
        <v>16.820000000000164</v>
      </c>
      <c r="J572" s="179">
        <v>4106.58</v>
      </c>
      <c r="K572" s="177" t="d">
        <v>2021-04-06T05:09:00.00000008381903175</v>
      </c>
      <c r="L572" s="179">
        <v>4072.14</v>
      </c>
      <c r="M572" s="181">
        <f t="shared" si="154"/>
        <v>74.87</v>
      </c>
      <c r="N572" s="182">
        <f t="shared" si="155"/>
        <v>4.45</v>
      </c>
      <c r="O572" s="183">
        <f t="shared" si="156"/>
        <v>0</v>
      </c>
      <c r="P572" s="184">
        <f t="shared" si="157"/>
        <v>4.45</v>
      </c>
      <c r="Q572" s="184">
        <f t="shared" si="158"/>
        <v>0</v>
      </c>
      <c r="R57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28997.5</v>
      </c>
      <c r="T57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28997.5</v>
      </c>
      <c r="U572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572" s="187">
        <f t="shared" si="159"/>
        <v>0</v>
      </c>
      <c r="W572" s="187">
        <f t="shared" si="160"/>
        <v>0</v>
      </c>
      <c r="X572" s="187">
        <f t="shared" si="161"/>
        <v>0</v>
      </c>
      <c r="Y572" s="187">
        <f t="shared" si="162"/>
        <v>0</v>
      </c>
      <c r="Z572" s="187">
        <f t="shared" si="163"/>
        <v>4.45</v>
      </c>
      <c r="AA572" s="183">
        <f t="shared" si="164"/>
        <v>0</v>
      </c>
      <c r="AB572" s="187">
        <f t="shared" si="165"/>
        <v>0</v>
      </c>
      <c r="AC572" s="183">
        <f t="shared" si="166"/>
        <v>0</v>
      </c>
      <c r="AD572" s="188">
        <f t="shared" si="167"/>
        <v>4.5479166666700621</v>
      </c>
      <c r="AE572" s="188">
        <f t="shared" si="168"/>
        <v>4.5479166666700621</v>
      </c>
      <c r="AF572" s="188">
        <f t="shared" si="169"/>
        <v>0</v>
      </c>
      <c r="AG572" s="188">
        <f t="shared" si="170"/>
        <v>0</v>
      </c>
    </row>
    <row r="573" spans="2:33" ht="15" customHeight="1" x14ac:dyDescent="0.15">
      <c r="B573" s="174" t="s">
        <v>7</v>
      </c>
      <c r="C573" s="175" t="s">
        <v>15</v>
      </c>
      <c r="D573" s="176" t="str">
        <f t="shared" si="152"/>
        <v>C</v>
      </c>
      <c r="E573" s="177" t="d">
        <v>2021-04-05T11:15:00.000</v>
      </c>
      <c r="F573" s="178" t="s">
        <v>102</v>
      </c>
      <c r="G573" s="179">
        <v>153.249</v>
      </c>
      <c r="H573" s="179">
        <v>152.97800000000001</v>
      </c>
      <c r="I573" s="180">
        <f t="shared" si="153"/>
        <v>0.27099999999998658</v>
      </c>
      <c r="J573" s="179">
        <v>154.69399999999999</v>
      </c>
      <c r="K573" s="177" t="d">
        <v>2021-04-05T17:09:00.00000008381903175</v>
      </c>
      <c r="L573" s="179">
        <v>152.97800000000001</v>
      </c>
      <c r="M573" s="181">
        <f t="shared" si="154"/>
        <v>-0.27100000000000002</v>
      </c>
      <c r="N573" s="182">
        <f t="shared" si="155"/>
        <v>-1</v>
      </c>
      <c r="O573" s="183">
        <f t="shared" si="156"/>
        <v>0</v>
      </c>
      <c r="P573" s="184">
        <f t="shared" si="157"/>
        <v>0</v>
      </c>
      <c r="Q573" s="184">
        <f t="shared" si="158"/>
        <v>-1</v>
      </c>
      <c r="R57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27885</v>
      </c>
      <c r="T57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28205</v>
      </c>
      <c r="U573" s="186">
        <f ca="1">IF(Tabla33610673[[#This Row],[Equity]]&lt;Tabla33610673[[#This Row],[Equity Peak]],(Tabla33610673[[#This Row],[Equity Peak]]-Tabla33610673[[#This Row],[Equity]])/Tabla33610673[[#This Row],[Equity Peak]],"")</f>
        <v>1.134550611593689E-2</v>
      </c>
      <c r="V573" s="187">
        <f t="shared" si="159"/>
        <v>-1</v>
      </c>
      <c r="W573" s="187">
        <f t="shared" si="160"/>
        <v>0</v>
      </c>
      <c r="X573" s="187">
        <f t="shared" si="161"/>
        <v>0</v>
      </c>
      <c r="Y573" s="187">
        <f t="shared" si="162"/>
        <v>0</v>
      </c>
      <c r="Z573" s="187">
        <f t="shared" si="163"/>
        <v>0</v>
      </c>
      <c r="AA573" s="183">
        <f t="shared" si="164"/>
        <v>0</v>
      </c>
      <c r="AB573" s="187">
        <f t="shared" si="165"/>
        <v>0</v>
      </c>
      <c r="AC573" s="183">
        <f t="shared" si="166"/>
        <v>0</v>
      </c>
      <c r="AD573" s="188">
        <f t="shared" si="167"/>
        <v>0.24583333333430346</v>
      </c>
      <c r="AE573" s="188">
        <f t="shared" si="168"/>
        <v>0</v>
      </c>
      <c r="AF573" s="188">
        <f t="shared" si="169"/>
        <v>0.24583333333430346</v>
      </c>
      <c r="AG573" s="188">
        <f t="shared" si="170"/>
        <v>0</v>
      </c>
    </row>
    <row r="574" spans="2:33" ht="15" customHeight="1" x14ac:dyDescent="0.15">
      <c r="B574" s="174" t="s">
        <v>7</v>
      </c>
      <c r="C574" s="175" t="s">
        <v>15</v>
      </c>
      <c r="D574" s="176" t="str">
        <f t="shared" si="152"/>
        <v>C</v>
      </c>
      <c r="E574" s="177" t="d">
        <v>2021-04-01T16:44:59.99999979045242400</v>
      </c>
      <c r="F574" s="178" t="s">
        <v>102</v>
      </c>
      <c r="G574" s="179">
        <v>152.91</v>
      </c>
      <c r="H574" s="179">
        <v>152.57599999999999</v>
      </c>
      <c r="I574" s="180">
        <f t="shared" si="153"/>
        <v>0.33400000000000318</v>
      </c>
      <c r="J574" s="179">
        <v>154.69</v>
      </c>
      <c r="K574" s="177" t="d">
        <v>2021-04-02T11:48:59.999999734573066125</v>
      </c>
      <c r="L574" s="179">
        <v>152.83199999999999</v>
      </c>
      <c r="M574" s="181">
        <f t="shared" si="154"/>
        <v>-7.8E-2</v>
      </c>
      <c r="N574" s="182">
        <f t="shared" si="155"/>
        <v>-0.23</v>
      </c>
      <c r="O574" s="183">
        <f t="shared" si="156"/>
        <v>0</v>
      </c>
      <c r="P574" s="184">
        <f t="shared" si="157"/>
        <v>0</v>
      </c>
      <c r="Q574" s="184">
        <f t="shared" si="158"/>
        <v>-0.23</v>
      </c>
      <c r="R57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28135</v>
      </c>
      <c r="T57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28205</v>
      </c>
      <c r="U574" s="186">
        <f ca="1">IF(Tabla33610673[[#This Row],[Equity]]&lt;Tabla33610673[[#This Row],[Equity Peak]],(Tabla33610673[[#This Row],[Equity Peak]]-Tabla33610673[[#This Row],[Equity]])/Tabla33610673[[#This Row],[Equity Peak]],"")</f>
        <v>2.4818294628611948E-3</v>
      </c>
      <c r="V574" s="187">
        <f t="shared" si="159"/>
        <v>-0.23</v>
      </c>
      <c r="W574" s="187">
        <f t="shared" si="160"/>
        <v>0</v>
      </c>
      <c r="X574" s="187">
        <f t="shared" si="161"/>
        <v>0</v>
      </c>
      <c r="Y574" s="187">
        <f t="shared" si="162"/>
        <v>0</v>
      </c>
      <c r="Z574" s="187">
        <f t="shared" si="163"/>
        <v>0</v>
      </c>
      <c r="AA574" s="183">
        <f t="shared" si="164"/>
        <v>0</v>
      </c>
      <c r="AB574" s="187">
        <f t="shared" si="165"/>
        <v>0</v>
      </c>
      <c r="AC574" s="183">
        <f t="shared" si="166"/>
        <v>0</v>
      </c>
      <c r="AD574" s="188">
        <f t="shared" si="167"/>
        <v>0.79444444444379769</v>
      </c>
      <c r="AE574" s="188">
        <f t="shared" si="168"/>
        <v>0</v>
      </c>
      <c r="AF574" s="188">
        <f t="shared" si="169"/>
        <v>0.79444444444379769</v>
      </c>
      <c r="AG574" s="188">
        <f t="shared" si="170"/>
        <v>0</v>
      </c>
    </row>
    <row r="575" spans="2:33" ht="15" customHeight="1" x14ac:dyDescent="0.15">
      <c r="B575" s="174" t="s">
        <v>5</v>
      </c>
      <c r="C575" s="175" t="s">
        <v>15</v>
      </c>
      <c r="D575" s="176" t="str">
        <f t="shared" si="152"/>
        <v>C</v>
      </c>
      <c r="E575" s="177" t="d">
        <v>2021-03-31T16:44:59.99999979045242400</v>
      </c>
      <c r="F575" s="178" t="s">
        <v>82</v>
      </c>
      <c r="G575" s="179">
        <v>3976.37</v>
      </c>
      <c r="H575" s="179">
        <v>3957.05</v>
      </c>
      <c r="I575" s="180">
        <f t="shared" si="153"/>
        <v>19.319999999999709</v>
      </c>
      <c r="J575" s="179">
        <v>4101.95</v>
      </c>
      <c r="K575" s="177" t="d">
        <v>2021-03-31T23:09:00.00000008381903175</v>
      </c>
      <c r="L575" s="179">
        <v>3975.35</v>
      </c>
      <c r="M575" s="181">
        <f t="shared" si="154"/>
        <v>-1.02</v>
      </c>
      <c r="N575" s="182">
        <f t="shared" si="155"/>
        <v>-0.05</v>
      </c>
      <c r="O575" s="183">
        <f t="shared" si="156"/>
        <v>0</v>
      </c>
      <c r="P575" s="184">
        <f t="shared" si="157"/>
        <v>0</v>
      </c>
      <c r="Q575" s="184">
        <f t="shared" si="158"/>
        <v>-0.05</v>
      </c>
      <c r="R57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28192.5</v>
      </c>
      <c r="T57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28205</v>
      </c>
      <c r="U575" s="186">
        <f ca="1">IF(Tabla33610673[[#This Row],[Equity]]&lt;Tabla33610673[[#This Row],[Equity Peak]],(Tabla33610673[[#This Row],[Equity Peak]]-Tabla33610673[[#This Row],[Equity]])/Tabla33610673[[#This Row],[Equity Peak]],"")</f>
        <v>4.4318383265378478E-4</v>
      </c>
      <c r="V575" s="187">
        <f t="shared" si="159"/>
        <v>0</v>
      </c>
      <c r="W575" s="187">
        <f t="shared" si="160"/>
        <v>0</v>
      </c>
      <c r="X575" s="187">
        <f t="shared" si="161"/>
        <v>0</v>
      </c>
      <c r="Y575" s="187">
        <f t="shared" si="162"/>
        <v>0</v>
      </c>
      <c r="Z575" s="187">
        <f t="shared" si="163"/>
        <v>-0.05</v>
      </c>
      <c r="AA575" s="183">
        <f t="shared" si="164"/>
        <v>0</v>
      </c>
      <c r="AB575" s="187">
        <f t="shared" si="165"/>
        <v>0</v>
      </c>
      <c r="AC575" s="183">
        <f t="shared" si="166"/>
        <v>0</v>
      </c>
      <c r="AD575" s="188">
        <f t="shared" si="167"/>
        <v>0.26666666667006211</v>
      </c>
      <c r="AE575" s="188">
        <f t="shared" si="168"/>
        <v>0</v>
      </c>
      <c r="AF575" s="188">
        <f t="shared" si="169"/>
        <v>0.26666666667006211</v>
      </c>
      <c r="AG575" s="188">
        <f t="shared" si="170"/>
        <v>0</v>
      </c>
    </row>
    <row r="576" spans="2:33" ht="15" customHeight="1" x14ac:dyDescent="0.15">
      <c r="B576" s="174" t="s">
        <v>5</v>
      </c>
      <c r="C576" s="175" t="s">
        <v>15</v>
      </c>
      <c r="D576" s="176" t="str">
        <f t="shared" si="152"/>
        <v>C</v>
      </c>
      <c r="E576" s="177" t="d">
        <v>2021-03-31T16:44:59.99999979045242400</v>
      </c>
      <c r="F576" s="178" t="s">
        <v>81</v>
      </c>
      <c r="G576" s="179">
        <v>13020.16</v>
      </c>
      <c r="H576" s="179">
        <v>12950.35</v>
      </c>
      <c r="I576" s="180">
        <f t="shared" si="153"/>
        <v>69.809999999999491</v>
      </c>
      <c r="J576" s="179">
        <v>13439.05</v>
      </c>
      <c r="K576" s="177" t="d">
        <v>2021-03-31T22:54:00.00000029336660775</v>
      </c>
      <c r="L576" s="179">
        <v>13100.42</v>
      </c>
      <c r="M576" s="181">
        <f t="shared" si="154"/>
        <v>80.260000000000005</v>
      </c>
      <c r="N576" s="182">
        <f t="shared" si="155"/>
        <v>1.1499999999999999</v>
      </c>
      <c r="O576" s="183">
        <f t="shared" si="156"/>
        <v>0</v>
      </c>
      <c r="P576" s="184">
        <f t="shared" si="157"/>
        <v>1.1499999999999999</v>
      </c>
      <c r="Q576" s="184">
        <f t="shared" si="158"/>
        <v>0</v>
      </c>
      <c r="R57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28205</v>
      </c>
      <c r="T57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28205</v>
      </c>
      <c r="U576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576" s="187">
        <f t="shared" si="159"/>
        <v>0</v>
      </c>
      <c r="W576" s="187">
        <f t="shared" si="160"/>
        <v>0</v>
      </c>
      <c r="X576" s="187">
        <f t="shared" si="161"/>
        <v>0</v>
      </c>
      <c r="Y576" s="187">
        <f t="shared" si="162"/>
        <v>0</v>
      </c>
      <c r="Z576" s="187">
        <f t="shared" si="163"/>
        <v>1.1499999999999999</v>
      </c>
      <c r="AA576" s="183">
        <f t="shared" si="164"/>
        <v>0</v>
      </c>
      <c r="AB576" s="187">
        <f t="shared" si="165"/>
        <v>0</v>
      </c>
      <c r="AC576" s="183">
        <f t="shared" si="166"/>
        <v>0</v>
      </c>
      <c r="AD576" s="188">
        <f t="shared" si="167"/>
        <v>0.25625000000582077</v>
      </c>
      <c r="AE576" s="188">
        <f t="shared" si="168"/>
        <v>0.25625000000582077</v>
      </c>
      <c r="AF576" s="188">
        <f t="shared" si="169"/>
        <v>0</v>
      </c>
      <c r="AG576" s="188">
        <f t="shared" si="170"/>
        <v>0</v>
      </c>
    </row>
    <row r="577" spans="2:33" ht="15" customHeight="1" x14ac:dyDescent="0.15">
      <c r="B577" s="174" t="s">
        <v>19</v>
      </c>
      <c r="C577" s="175" t="s">
        <v>15</v>
      </c>
      <c r="D577" s="176" t="str">
        <f t="shared" si="152"/>
        <v>C</v>
      </c>
      <c r="E577" s="177" t="d">
        <v>2021-03-31T16:44:59.99999979045242400</v>
      </c>
      <c r="F577" s="178" t="s">
        <v>77</v>
      </c>
      <c r="G577" s="179">
        <v>1690.51</v>
      </c>
      <c r="H577" s="179">
        <v>1685.34</v>
      </c>
      <c r="I577" s="180">
        <f t="shared" si="153"/>
        <v>5.1700000000000728</v>
      </c>
      <c r="J577" s="179">
        <v>1715.32</v>
      </c>
      <c r="K577" s="177" t="d">
        <v>2021-03-31T20:23:59.99999987427145575</v>
      </c>
      <c r="L577" s="179">
        <v>1715.32</v>
      </c>
      <c r="M577" s="181">
        <f t="shared" si="154"/>
        <v>24.81</v>
      </c>
      <c r="N577" s="182">
        <f t="shared" si="155"/>
        <v>4.8</v>
      </c>
      <c r="O577" s="183">
        <f t="shared" si="156"/>
        <v>0</v>
      </c>
      <c r="P577" s="184">
        <f t="shared" si="157"/>
        <v>4.8</v>
      </c>
      <c r="Q577" s="184">
        <f t="shared" si="158"/>
        <v>0</v>
      </c>
      <c r="R57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27917.5</v>
      </c>
      <c r="T57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27917.5</v>
      </c>
      <c r="U577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577" s="187">
        <f t="shared" si="159"/>
        <v>0</v>
      </c>
      <c r="W577" s="187">
        <f t="shared" si="160"/>
        <v>0</v>
      </c>
      <c r="X577" s="187">
        <f t="shared" si="161"/>
        <v>4.8</v>
      </c>
      <c r="Y577" s="187">
        <f t="shared" si="162"/>
        <v>0</v>
      </c>
      <c r="Z577" s="187">
        <f t="shared" si="163"/>
        <v>0</v>
      </c>
      <c r="AA577" s="183">
        <f t="shared" si="164"/>
        <v>0</v>
      </c>
      <c r="AB577" s="187">
        <f t="shared" si="165"/>
        <v>0</v>
      </c>
      <c r="AC577" s="183">
        <f t="shared" si="166"/>
        <v>0</v>
      </c>
      <c r="AD577" s="188">
        <f t="shared" si="167"/>
        <v>0.15208333333430346</v>
      </c>
      <c r="AE577" s="188">
        <f t="shared" si="168"/>
        <v>0.15208333333430346</v>
      </c>
      <c r="AF577" s="188">
        <f t="shared" si="169"/>
        <v>0</v>
      </c>
      <c r="AG577" s="188">
        <f t="shared" si="170"/>
        <v>0</v>
      </c>
    </row>
    <row r="578" spans="2:33" ht="15" customHeight="1" x14ac:dyDescent="0.15">
      <c r="B578" s="174" t="s">
        <v>7</v>
      </c>
      <c r="C578" s="175" t="s">
        <v>15</v>
      </c>
      <c r="D578" s="176" t="str">
        <f t="shared" si="152"/>
        <v>C</v>
      </c>
      <c r="E578" s="177" t="d">
        <v>2021-03-31T03:59:59.99999979045242400</v>
      </c>
      <c r="F578" s="178" t="s">
        <v>102</v>
      </c>
      <c r="G578" s="179">
        <v>152.12700000000001</v>
      </c>
      <c r="H578" s="179">
        <v>151.833</v>
      </c>
      <c r="I578" s="180">
        <f t="shared" si="153"/>
        <v>0.29400000000001114</v>
      </c>
      <c r="J578" s="179">
        <v>153.69300000000001</v>
      </c>
      <c r="K578" s="177" t="d">
        <v>2021-03-31T18:08:59.99999987427145575</v>
      </c>
      <c r="L578" s="179">
        <v>152.25700000000001</v>
      </c>
      <c r="M578" s="181">
        <f t="shared" si="154"/>
        <v>0.13</v>
      </c>
      <c r="N578" s="182">
        <f t="shared" si="155"/>
        <v>0.44</v>
      </c>
      <c r="O578" s="183">
        <f t="shared" si="156"/>
        <v>0</v>
      </c>
      <c r="P578" s="184">
        <f t="shared" si="157"/>
        <v>0.44</v>
      </c>
      <c r="Q578" s="184">
        <f t="shared" si="158"/>
        <v>0</v>
      </c>
      <c r="R57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26717.5</v>
      </c>
      <c r="T57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578" s="186">
        <f ca="1">IF(Tabla33610673[[#This Row],[Equity]]&lt;Tabla33610673[[#This Row],[Equity Peak]],(Tabla33610673[[#This Row],[Equity Peak]]-Tabla33610673[[#This Row],[Equity]])/Tabla33610673[[#This Row],[Equity Peak]],"")</f>
        <v>3.8160381603816039E-2</v>
      </c>
      <c r="V578" s="187">
        <f t="shared" si="159"/>
        <v>0.44</v>
      </c>
      <c r="W578" s="187">
        <f t="shared" si="160"/>
        <v>0</v>
      </c>
      <c r="X578" s="187">
        <f t="shared" si="161"/>
        <v>0</v>
      </c>
      <c r="Y578" s="187">
        <f t="shared" si="162"/>
        <v>0</v>
      </c>
      <c r="Z578" s="187">
        <f t="shared" si="163"/>
        <v>0</v>
      </c>
      <c r="AA578" s="183">
        <f t="shared" si="164"/>
        <v>0</v>
      </c>
      <c r="AB578" s="187">
        <f t="shared" si="165"/>
        <v>0</v>
      </c>
      <c r="AC578" s="183">
        <f t="shared" si="166"/>
        <v>0</v>
      </c>
      <c r="AD578" s="188">
        <f t="shared" si="167"/>
        <v>0.58958333333430346</v>
      </c>
      <c r="AE578" s="188">
        <f t="shared" si="168"/>
        <v>0.58958333333430346</v>
      </c>
      <c r="AF578" s="188">
        <f t="shared" si="169"/>
        <v>0</v>
      </c>
      <c r="AG578" s="188">
        <f t="shared" si="170"/>
        <v>0</v>
      </c>
    </row>
    <row r="579" spans="2:33" ht="15" customHeight="1" x14ac:dyDescent="0.15">
      <c r="B579" s="174" t="s">
        <v>19</v>
      </c>
      <c r="C579" s="175" t="s">
        <v>15</v>
      </c>
      <c r="D579" s="176" t="str">
        <f t="shared" si="152"/>
        <v>C</v>
      </c>
      <c r="E579" s="177" t="d">
        <v>2021-03-31T09:45:00.000</v>
      </c>
      <c r="F579" s="178" t="s">
        <v>77</v>
      </c>
      <c r="G579" s="179">
        <v>1687.55</v>
      </c>
      <c r="H579" s="179">
        <v>1682.48</v>
      </c>
      <c r="I579" s="180">
        <f t="shared" si="153"/>
        <v>5.0699999999999363</v>
      </c>
      <c r="J579" s="179">
        <v>1711.89</v>
      </c>
      <c r="K579" s="177" t="d">
        <v>2021-03-31T15:17:59.99999974854290475</v>
      </c>
      <c r="L579" s="179">
        <v>1682.48</v>
      </c>
      <c r="M579" s="181">
        <f t="shared" si="154"/>
        <v>-5.07</v>
      </c>
      <c r="N579" s="182">
        <f t="shared" si="155"/>
        <v>-1</v>
      </c>
      <c r="O579" s="183">
        <f t="shared" si="156"/>
        <v>0</v>
      </c>
      <c r="P579" s="184">
        <f t="shared" si="157"/>
        <v>0</v>
      </c>
      <c r="Q579" s="184">
        <f t="shared" si="158"/>
        <v>-1</v>
      </c>
      <c r="R57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26607.5</v>
      </c>
      <c r="T57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579" s="186">
        <f ca="1">IF(Tabla33610673[[#This Row],[Equity]]&lt;Tabla33610673[[#This Row],[Equity Peak]],(Tabla33610673[[#This Row],[Equity Peak]]-Tabla33610673[[#This Row],[Equity]])/Tabla33610673[[#This Row],[Equity Peak]],"")</f>
        <v>4.2120421204212041E-2</v>
      </c>
      <c r="V579" s="187">
        <f t="shared" si="159"/>
        <v>0</v>
      </c>
      <c r="W579" s="187">
        <f t="shared" si="160"/>
        <v>0</v>
      </c>
      <c r="X579" s="187">
        <f t="shared" si="161"/>
        <v>-1</v>
      </c>
      <c r="Y579" s="187">
        <f t="shared" si="162"/>
        <v>0</v>
      </c>
      <c r="Z579" s="187">
        <f t="shared" si="163"/>
        <v>0</v>
      </c>
      <c r="AA579" s="183">
        <f t="shared" si="164"/>
        <v>0</v>
      </c>
      <c r="AB579" s="187">
        <f t="shared" si="165"/>
        <v>0</v>
      </c>
      <c r="AC579" s="183">
        <f t="shared" si="166"/>
        <v>0</v>
      </c>
      <c r="AD579" s="188">
        <f t="shared" si="167"/>
        <v>0.23124999999708962</v>
      </c>
      <c r="AE579" s="188">
        <f t="shared" si="168"/>
        <v>0</v>
      </c>
      <c r="AF579" s="188">
        <f t="shared" si="169"/>
        <v>0.23124999999708962</v>
      </c>
      <c r="AG579" s="188">
        <f t="shared" si="170"/>
        <v>0</v>
      </c>
    </row>
    <row r="580" spans="2:33" ht="15" customHeight="1" x14ac:dyDescent="0.15">
      <c r="B580" s="174" t="s">
        <v>7</v>
      </c>
      <c r="C580" s="175" t="s">
        <v>15</v>
      </c>
      <c r="D580" s="176" t="str">
        <f t="shared" si="152"/>
        <v>C</v>
      </c>
      <c r="E580" s="177" t="d">
        <v>2021-03-30T04:30:00.000</v>
      </c>
      <c r="F580" s="178" t="s">
        <v>103</v>
      </c>
      <c r="G580" s="179">
        <v>109.922</v>
      </c>
      <c r="H580" s="179">
        <v>109.755</v>
      </c>
      <c r="I580" s="180">
        <f t="shared" si="153"/>
        <v>0.16700000000000159</v>
      </c>
      <c r="J580" s="179">
        <v>110.97199999999999</v>
      </c>
      <c r="K580" s="177" t="d">
        <v>2021-03-31T09:39:00.00000008381903175</v>
      </c>
      <c r="L580" s="179">
        <v>110.66800000000001</v>
      </c>
      <c r="M580" s="181">
        <f t="shared" si="154"/>
        <v>0.746</v>
      </c>
      <c r="N580" s="182">
        <f t="shared" si="155"/>
        <v>4.47</v>
      </c>
      <c r="O580" s="183">
        <f t="shared" si="156"/>
        <v>0</v>
      </c>
      <c r="P580" s="184">
        <f t="shared" si="157"/>
        <v>4.47</v>
      </c>
      <c r="Q580" s="184">
        <f t="shared" si="158"/>
        <v>0</v>
      </c>
      <c r="R58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26857.5</v>
      </c>
      <c r="T58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580" s="186">
        <f ca="1">IF(Tabla33610673[[#This Row],[Equity]]&lt;Tabla33610673[[#This Row],[Equity Peak]],(Tabla33610673[[#This Row],[Equity Peak]]-Tabla33610673[[#This Row],[Equity]])/Tabla33610673[[#This Row],[Equity Peak]],"")</f>
        <v>3.312033120331203E-2</v>
      </c>
      <c r="V580" s="187">
        <f t="shared" si="159"/>
        <v>4.47</v>
      </c>
      <c r="W580" s="187">
        <f t="shared" si="160"/>
        <v>0</v>
      </c>
      <c r="X580" s="187">
        <f t="shared" si="161"/>
        <v>0</v>
      </c>
      <c r="Y580" s="187">
        <f t="shared" si="162"/>
        <v>0</v>
      </c>
      <c r="Z580" s="187">
        <f t="shared" si="163"/>
        <v>0</v>
      </c>
      <c r="AA580" s="183">
        <f t="shared" si="164"/>
        <v>0</v>
      </c>
      <c r="AB580" s="187">
        <f t="shared" si="165"/>
        <v>0</v>
      </c>
      <c r="AC580" s="183">
        <f t="shared" si="166"/>
        <v>0</v>
      </c>
      <c r="AD580" s="188">
        <f t="shared" si="167"/>
        <v>1.2145833333343035</v>
      </c>
      <c r="AE580" s="188">
        <f t="shared" si="168"/>
        <v>1.2145833333343035</v>
      </c>
      <c r="AF580" s="188">
        <f t="shared" si="169"/>
        <v>0</v>
      </c>
      <c r="AG580" s="188">
        <f t="shared" si="170"/>
        <v>0</v>
      </c>
    </row>
    <row r="581" spans="2:33" ht="15" customHeight="1" x14ac:dyDescent="0.15">
      <c r="B581" s="174" t="s">
        <v>7</v>
      </c>
      <c r="C581" s="175" t="s">
        <v>15</v>
      </c>
      <c r="D581" s="176" t="str">
        <f t="shared" si="152"/>
        <v>C</v>
      </c>
      <c r="E581" s="177" t="d">
        <v>2021-03-30T11:45:00.00000020954757600</v>
      </c>
      <c r="F581" s="178" t="s">
        <v>102</v>
      </c>
      <c r="G581" s="179">
        <v>151.904</v>
      </c>
      <c r="H581" s="179">
        <v>151.572</v>
      </c>
      <c r="I581" s="180">
        <f t="shared" si="153"/>
        <v>0.33199999999999363</v>
      </c>
      <c r="J581" s="179">
        <v>153.67599999999999</v>
      </c>
      <c r="K581" s="177" t="d">
        <v>2021-03-30T14:51:59.99999969266355025</v>
      </c>
      <c r="L581" s="179">
        <v>151.572</v>
      </c>
      <c r="M581" s="181">
        <f t="shared" si="154"/>
        <v>-0.33200000000000002</v>
      </c>
      <c r="N581" s="182">
        <f t="shared" si="155"/>
        <v>-1</v>
      </c>
      <c r="O581" s="183">
        <f t="shared" si="156"/>
        <v>0</v>
      </c>
      <c r="P581" s="184">
        <f t="shared" si="157"/>
        <v>0</v>
      </c>
      <c r="Q581" s="184">
        <f t="shared" si="158"/>
        <v>-1</v>
      </c>
      <c r="R58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25740</v>
      </c>
      <c r="T58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581" s="186">
        <f ca="1">IF(Tabla33610673[[#This Row],[Equity]]&lt;Tabla33610673[[#This Row],[Equity Peak]],(Tabla33610673[[#This Row],[Equity Peak]]-Tabla33610673[[#This Row],[Equity]])/Tabla33610673[[#This Row],[Equity Peak]],"")</f>
        <v>7.3350733507335078E-2</v>
      </c>
      <c r="V581" s="187">
        <f t="shared" si="159"/>
        <v>-1</v>
      </c>
      <c r="W581" s="187">
        <f t="shared" si="160"/>
        <v>0</v>
      </c>
      <c r="X581" s="187">
        <f t="shared" si="161"/>
        <v>0</v>
      </c>
      <c r="Y581" s="187">
        <f t="shared" si="162"/>
        <v>0</v>
      </c>
      <c r="Z581" s="187">
        <f t="shared" si="163"/>
        <v>0</v>
      </c>
      <c r="AA581" s="183">
        <f t="shared" si="164"/>
        <v>0</v>
      </c>
      <c r="AB581" s="187">
        <f t="shared" si="165"/>
        <v>0</v>
      </c>
      <c r="AC581" s="183">
        <f t="shared" si="166"/>
        <v>0</v>
      </c>
      <c r="AD581" s="188">
        <f t="shared" si="167"/>
        <v>0.12986111110512866</v>
      </c>
      <c r="AE581" s="188">
        <f t="shared" si="168"/>
        <v>0</v>
      </c>
      <c r="AF581" s="188">
        <f t="shared" si="169"/>
        <v>0.12986111110512866</v>
      </c>
      <c r="AG581" s="188">
        <f t="shared" si="170"/>
        <v>0</v>
      </c>
    </row>
    <row r="582" spans="2:33" ht="15" customHeight="1" x14ac:dyDescent="0.15">
      <c r="B582" s="174" t="s">
        <v>5</v>
      </c>
      <c r="C582" s="175" t="s">
        <v>15</v>
      </c>
      <c r="D582" s="176" t="str">
        <f t="shared" si="152"/>
        <v>C</v>
      </c>
      <c r="E582" s="177" t="d">
        <v>2021-03-29T20:15:00.000</v>
      </c>
      <c r="F582" s="178" t="s">
        <v>81</v>
      </c>
      <c r="G582" s="179">
        <v>13009.01</v>
      </c>
      <c r="H582" s="179">
        <v>12917.95</v>
      </c>
      <c r="I582" s="180">
        <f t="shared" si="153"/>
        <v>91.059999999999491</v>
      </c>
      <c r="J582" s="179">
        <v>13555.38</v>
      </c>
      <c r="K582" s="177" t="d">
        <v>2021-03-29T21:39:00.00000008381903175</v>
      </c>
      <c r="L582" s="179">
        <v>12917.95</v>
      </c>
      <c r="M582" s="181">
        <f t="shared" si="154"/>
        <v>-91.06</v>
      </c>
      <c r="N582" s="182">
        <f t="shared" si="155"/>
        <v>-1</v>
      </c>
      <c r="O582" s="183">
        <f t="shared" si="156"/>
        <v>0</v>
      </c>
      <c r="P582" s="184">
        <f t="shared" si="157"/>
        <v>0</v>
      </c>
      <c r="Q582" s="184">
        <f t="shared" si="158"/>
        <v>-1</v>
      </c>
      <c r="R58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25990</v>
      </c>
      <c r="T58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582" s="186">
        <f ca="1">IF(Tabla33610673[[#This Row],[Equity]]&lt;Tabla33610673[[#This Row],[Equity Peak]],(Tabla33610673[[#This Row],[Equity Peak]]-Tabla33610673[[#This Row],[Equity]])/Tabla33610673[[#This Row],[Equity Peak]],"")</f>
        <v>6.435064350643506E-2</v>
      </c>
      <c r="V582" s="187">
        <f t="shared" si="159"/>
        <v>0</v>
      </c>
      <c r="W582" s="187">
        <f t="shared" si="160"/>
        <v>0</v>
      </c>
      <c r="X582" s="187">
        <f t="shared" si="161"/>
        <v>0</v>
      </c>
      <c r="Y582" s="187">
        <f t="shared" si="162"/>
        <v>0</v>
      </c>
      <c r="Z582" s="187">
        <f t="shared" si="163"/>
        <v>-1</v>
      </c>
      <c r="AA582" s="183">
        <f t="shared" si="164"/>
        <v>0</v>
      </c>
      <c r="AB582" s="187">
        <f t="shared" si="165"/>
        <v>0</v>
      </c>
      <c r="AC582" s="183">
        <f t="shared" si="166"/>
        <v>0</v>
      </c>
      <c r="AD582" s="188">
        <f t="shared" si="167"/>
        <v>5.8333333334303461E-2</v>
      </c>
      <c r="AE582" s="188">
        <f t="shared" si="168"/>
        <v>0</v>
      </c>
      <c r="AF582" s="188">
        <f t="shared" si="169"/>
        <v>5.8333333334303461E-2</v>
      </c>
      <c r="AG582" s="188">
        <f t="shared" si="170"/>
        <v>0</v>
      </c>
    </row>
    <row r="583" spans="2:33" ht="15" customHeight="1" x14ac:dyDescent="0.15">
      <c r="B583" s="174" t="s">
        <v>7</v>
      </c>
      <c r="C583" s="175" t="s">
        <v>15</v>
      </c>
      <c r="D583" s="176" t="str">
        <f t="shared" si="152"/>
        <v>C</v>
      </c>
      <c r="E583" s="177" t="d">
        <v>2021-03-29T11:29:59.99999979045242400</v>
      </c>
      <c r="F583" s="178" t="s">
        <v>102</v>
      </c>
      <c r="G583" s="179">
        <v>151.59299999999999</v>
      </c>
      <c r="H583" s="179">
        <v>151.245</v>
      </c>
      <c r="I583" s="180">
        <f t="shared" si="153"/>
        <v>0.34799999999998477</v>
      </c>
      <c r="J583" s="179">
        <v>153.45099999999999</v>
      </c>
      <c r="K583" s="177" t="d">
        <v>2021-03-29T17:32:59.99999974854290475</v>
      </c>
      <c r="L583" s="179">
        <v>151.273</v>
      </c>
      <c r="M583" s="181">
        <f t="shared" si="154"/>
        <v>-0.32</v>
      </c>
      <c r="N583" s="182">
        <f t="shared" si="155"/>
        <v>-0.92</v>
      </c>
      <c r="O583" s="183">
        <f t="shared" si="156"/>
        <v>0</v>
      </c>
      <c r="P583" s="184">
        <f t="shared" si="157"/>
        <v>0</v>
      </c>
      <c r="Q583" s="184">
        <f t="shared" si="158"/>
        <v>-0.92</v>
      </c>
      <c r="R58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26240</v>
      </c>
      <c r="T58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583" s="186">
        <f ca="1">IF(Tabla33610673[[#This Row],[Equity]]&lt;Tabla33610673[[#This Row],[Equity Peak]],(Tabla33610673[[#This Row],[Equity Peak]]-Tabla33610673[[#This Row],[Equity]])/Tabla33610673[[#This Row],[Equity Peak]],"")</f>
        <v>5.5350553505535055E-2</v>
      </c>
      <c r="V583" s="187">
        <f t="shared" si="159"/>
        <v>-0.92</v>
      </c>
      <c r="W583" s="187">
        <f t="shared" si="160"/>
        <v>0</v>
      </c>
      <c r="X583" s="187">
        <f t="shared" si="161"/>
        <v>0</v>
      </c>
      <c r="Y583" s="187">
        <f t="shared" si="162"/>
        <v>0</v>
      </c>
      <c r="Z583" s="187">
        <f t="shared" si="163"/>
        <v>0</v>
      </c>
      <c r="AA583" s="183">
        <f t="shared" si="164"/>
        <v>0</v>
      </c>
      <c r="AB583" s="187">
        <f t="shared" si="165"/>
        <v>0</v>
      </c>
      <c r="AC583" s="183">
        <f t="shared" si="166"/>
        <v>0</v>
      </c>
      <c r="AD583" s="188">
        <f t="shared" si="167"/>
        <v>0.25208333333284827</v>
      </c>
      <c r="AE583" s="188">
        <f t="shared" si="168"/>
        <v>0</v>
      </c>
      <c r="AF583" s="188">
        <f t="shared" si="169"/>
        <v>0.25208333333284827</v>
      </c>
      <c r="AG583" s="188">
        <f t="shared" si="170"/>
        <v>0</v>
      </c>
    </row>
    <row r="584" spans="2:33" ht="15" customHeight="1" x14ac:dyDescent="0.15">
      <c r="B584" s="174" t="s">
        <v>5</v>
      </c>
      <c r="C584" s="175" t="s">
        <v>15</v>
      </c>
      <c r="D584" s="176" t="str">
        <f t="shared" si="152"/>
        <v>C</v>
      </c>
      <c r="E584" s="177" t="d">
        <v>2021-03-26T09:00:00.000</v>
      </c>
      <c r="F584" s="178" t="s">
        <v>80</v>
      </c>
      <c r="G584" s="179">
        <v>14718.64</v>
      </c>
      <c r="H584" s="179">
        <v>14665.71</v>
      </c>
      <c r="I584" s="180">
        <f t="shared" si="153"/>
        <v>52.930000000000291</v>
      </c>
      <c r="J584" s="179">
        <v>15106.83</v>
      </c>
      <c r="K584" s="177" t="d">
        <v>2021-03-29T04:38:59.99999987427145575</v>
      </c>
      <c r="L584" s="179">
        <v>14752.25</v>
      </c>
      <c r="M584" s="181">
        <f t="shared" si="154"/>
        <v>33.61</v>
      </c>
      <c r="N584" s="182">
        <f t="shared" si="155"/>
        <v>0.63</v>
      </c>
      <c r="O584" s="183">
        <f t="shared" si="156"/>
        <v>0</v>
      </c>
      <c r="P584" s="184">
        <f t="shared" si="157"/>
        <v>0.63</v>
      </c>
      <c r="Q584" s="184">
        <f t="shared" si="158"/>
        <v>0</v>
      </c>
      <c r="R58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26470</v>
      </c>
      <c r="T58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584" s="186">
        <f ca="1">IF(Tabla33610673[[#This Row],[Equity]]&lt;Tabla33610673[[#This Row],[Equity Peak]],(Tabla33610673[[#This Row],[Equity Peak]]-Tabla33610673[[#This Row],[Equity]])/Tabla33610673[[#This Row],[Equity Peak]],"")</f>
        <v>4.7070470704707046E-2</v>
      </c>
      <c r="V584" s="187">
        <f t="shared" si="159"/>
        <v>0</v>
      </c>
      <c r="W584" s="187">
        <f t="shared" si="160"/>
        <v>0</v>
      </c>
      <c r="X584" s="187">
        <f t="shared" si="161"/>
        <v>0</v>
      </c>
      <c r="Y584" s="187">
        <f t="shared" si="162"/>
        <v>0</v>
      </c>
      <c r="Z584" s="187">
        <f t="shared" si="163"/>
        <v>0.63</v>
      </c>
      <c r="AA584" s="183">
        <f t="shared" si="164"/>
        <v>0</v>
      </c>
      <c r="AB584" s="187">
        <f t="shared" si="165"/>
        <v>0</v>
      </c>
      <c r="AC584" s="183">
        <f t="shared" si="166"/>
        <v>0</v>
      </c>
      <c r="AD584" s="188">
        <f t="shared" si="167"/>
        <v>2.8187499999985448</v>
      </c>
      <c r="AE584" s="188">
        <f t="shared" si="168"/>
        <v>2.8187499999985448</v>
      </c>
      <c r="AF584" s="188">
        <f t="shared" si="169"/>
        <v>0</v>
      </c>
      <c r="AG584" s="188">
        <f t="shared" si="170"/>
        <v>0</v>
      </c>
    </row>
    <row r="585" spans="2:33" ht="15" customHeight="1" x14ac:dyDescent="0.15">
      <c r="B585" s="174" t="s">
        <v>5</v>
      </c>
      <c r="C585" s="175" t="s">
        <v>15</v>
      </c>
      <c r="D585" s="176" t="str">
        <f t="shared" si="152"/>
        <v>C</v>
      </c>
      <c r="E585" s="177" t="d">
        <v>2021-03-26T23:00:00.00000020954757600</v>
      </c>
      <c r="F585" s="178" t="s">
        <v>81</v>
      </c>
      <c r="G585" s="179">
        <v>12981.07</v>
      </c>
      <c r="H585" s="179">
        <v>12891.91</v>
      </c>
      <c r="I585" s="180">
        <f t="shared" si="153"/>
        <v>89.159999999999854</v>
      </c>
      <c r="J585" s="179">
        <v>13516</v>
      </c>
      <c r="K585" s="177" t="d">
        <v>2021-03-29T03:53:59.99999987427145575</v>
      </c>
      <c r="L585" s="179">
        <v>12891.91</v>
      </c>
      <c r="M585" s="181">
        <f t="shared" si="154"/>
        <v>-89.16</v>
      </c>
      <c r="N585" s="182">
        <f t="shared" si="155"/>
        <v>-1</v>
      </c>
      <c r="O585" s="183">
        <f t="shared" si="156"/>
        <v>0</v>
      </c>
      <c r="P585" s="184">
        <f t="shared" si="157"/>
        <v>0</v>
      </c>
      <c r="Q585" s="184">
        <f t="shared" si="158"/>
        <v>-1</v>
      </c>
      <c r="R58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26312.5</v>
      </c>
      <c r="T58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585" s="186">
        <f ca="1">IF(Tabla33610673[[#This Row],[Equity]]&lt;Tabla33610673[[#This Row],[Equity Peak]],(Tabla33610673[[#This Row],[Equity Peak]]-Tabla33610673[[#This Row],[Equity]])/Tabla33610673[[#This Row],[Equity Peak]],"")</f>
        <v>5.2740527405274053E-2</v>
      </c>
      <c r="V585" s="187">
        <f t="shared" si="159"/>
        <v>0</v>
      </c>
      <c r="W585" s="187">
        <f t="shared" si="160"/>
        <v>0</v>
      </c>
      <c r="X585" s="187">
        <f t="shared" si="161"/>
        <v>0</v>
      </c>
      <c r="Y585" s="187">
        <f t="shared" si="162"/>
        <v>0</v>
      </c>
      <c r="Z585" s="187">
        <f t="shared" si="163"/>
        <v>-1</v>
      </c>
      <c r="AA585" s="183">
        <f t="shared" si="164"/>
        <v>0</v>
      </c>
      <c r="AB585" s="187">
        <f t="shared" si="165"/>
        <v>0</v>
      </c>
      <c r="AC585" s="183">
        <f t="shared" si="166"/>
        <v>0</v>
      </c>
      <c r="AD585" s="188">
        <f t="shared" si="167"/>
        <v>2.2041666666627862</v>
      </c>
      <c r="AE585" s="188">
        <f t="shared" si="168"/>
        <v>0</v>
      </c>
      <c r="AF585" s="188">
        <f t="shared" si="169"/>
        <v>2.2041666666627862</v>
      </c>
      <c r="AG585" s="188">
        <f t="shared" si="170"/>
        <v>0</v>
      </c>
    </row>
    <row r="586" spans="2:33" ht="15" customHeight="1" x14ac:dyDescent="0.15">
      <c r="B586" s="174" t="s">
        <v>19</v>
      </c>
      <c r="C586" s="175" t="s">
        <v>15</v>
      </c>
      <c r="D586" s="176" t="str">
        <f t="shared" si="152"/>
        <v>C</v>
      </c>
      <c r="E586" s="177" t="d">
        <v>2021-03-26T18:14:59.99999979045242400</v>
      </c>
      <c r="F586" s="178" t="s">
        <v>77</v>
      </c>
      <c r="G586" s="179">
        <v>1735.32</v>
      </c>
      <c r="H586" s="179">
        <v>1730.18</v>
      </c>
      <c r="I586" s="180">
        <f t="shared" si="153"/>
        <v>5.1399999999998727</v>
      </c>
      <c r="J586" s="179">
        <v>1760.01</v>
      </c>
      <c r="K586" s="177" t="d">
        <v>2021-03-29T03:47:59.9999999580904875</v>
      </c>
      <c r="L586" s="179">
        <v>1730.18</v>
      </c>
      <c r="M586" s="181">
        <f t="shared" si="154"/>
        <v>-5.14</v>
      </c>
      <c r="N586" s="182">
        <f t="shared" si="155"/>
        <v>-1</v>
      </c>
      <c r="O586" s="183">
        <f t="shared" si="156"/>
        <v>0</v>
      </c>
      <c r="P586" s="184">
        <f t="shared" si="157"/>
        <v>0</v>
      </c>
      <c r="Q586" s="184">
        <f t="shared" si="158"/>
        <v>-1</v>
      </c>
      <c r="R58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26562.5</v>
      </c>
      <c r="T58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586" s="186">
        <f ca="1">IF(Tabla33610673[[#This Row],[Equity]]&lt;Tabla33610673[[#This Row],[Equity Peak]],(Tabla33610673[[#This Row],[Equity Peak]]-Tabla33610673[[#This Row],[Equity]])/Tabla33610673[[#This Row],[Equity Peak]],"")</f>
        <v>4.3740437404374041E-2</v>
      </c>
      <c r="V586" s="187">
        <f t="shared" si="159"/>
        <v>0</v>
      </c>
      <c r="W586" s="187">
        <f t="shared" si="160"/>
        <v>0</v>
      </c>
      <c r="X586" s="187">
        <f t="shared" si="161"/>
        <v>-1</v>
      </c>
      <c r="Y586" s="187">
        <f t="shared" si="162"/>
        <v>0</v>
      </c>
      <c r="Z586" s="187">
        <f t="shared" si="163"/>
        <v>0</v>
      </c>
      <c r="AA586" s="183">
        <f t="shared" si="164"/>
        <v>0</v>
      </c>
      <c r="AB586" s="187">
        <f t="shared" si="165"/>
        <v>0</v>
      </c>
      <c r="AC586" s="183">
        <f t="shared" si="166"/>
        <v>0</v>
      </c>
      <c r="AD586" s="188">
        <f t="shared" si="167"/>
        <v>2.3979166666686069</v>
      </c>
      <c r="AE586" s="188">
        <f t="shared" si="168"/>
        <v>0</v>
      </c>
      <c r="AF586" s="188">
        <f t="shared" si="169"/>
        <v>2.3979166666686069</v>
      </c>
      <c r="AG586" s="188">
        <f t="shared" si="170"/>
        <v>0</v>
      </c>
    </row>
    <row r="587" spans="2:33" ht="15" customHeight="1" x14ac:dyDescent="0.15">
      <c r="B587" s="174" t="s">
        <v>5</v>
      </c>
      <c r="C587" s="175" t="s">
        <v>15</v>
      </c>
      <c r="D587" s="176" t="str">
        <f t="shared" si="152"/>
        <v>C</v>
      </c>
      <c r="E587" s="177" t="d">
        <v>2021-03-26T02:29:59.99999979045242400</v>
      </c>
      <c r="F587" s="178" t="s">
        <v>82</v>
      </c>
      <c r="G587" s="179">
        <v>3922.96</v>
      </c>
      <c r="H587" s="179">
        <v>3902.13</v>
      </c>
      <c r="I587" s="180">
        <f t="shared" si="153"/>
        <v>20.829999999999927</v>
      </c>
      <c r="J587" s="179">
        <v>4058.36</v>
      </c>
      <c r="K587" s="177" t="d">
        <v>2021-03-26T21:08:59.99999987427145575</v>
      </c>
      <c r="L587" s="179">
        <v>3925.25</v>
      </c>
      <c r="M587" s="181">
        <f t="shared" si="154"/>
        <v>2.29</v>
      </c>
      <c r="N587" s="182">
        <f t="shared" si="155"/>
        <v>0.11</v>
      </c>
      <c r="O587" s="183">
        <f t="shared" si="156"/>
        <v>0</v>
      </c>
      <c r="P587" s="184">
        <f t="shared" si="157"/>
        <v>0.11</v>
      </c>
      <c r="Q587" s="184">
        <f t="shared" si="158"/>
        <v>0</v>
      </c>
      <c r="R58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26812.5</v>
      </c>
      <c r="T58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587" s="186">
        <f ca="1">IF(Tabla33610673[[#This Row],[Equity]]&lt;Tabla33610673[[#This Row],[Equity Peak]],(Tabla33610673[[#This Row],[Equity Peak]]-Tabla33610673[[#This Row],[Equity]])/Tabla33610673[[#This Row],[Equity Peak]],"")</f>
        <v>3.4740347403474037E-2</v>
      </c>
      <c r="V587" s="187">
        <f t="shared" si="159"/>
        <v>0</v>
      </c>
      <c r="W587" s="187">
        <f t="shared" si="160"/>
        <v>0</v>
      </c>
      <c r="X587" s="187">
        <f t="shared" si="161"/>
        <v>0</v>
      </c>
      <c r="Y587" s="187">
        <f t="shared" si="162"/>
        <v>0</v>
      </c>
      <c r="Z587" s="187">
        <f t="shared" si="163"/>
        <v>0.11</v>
      </c>
      <c r="AA587" s="183">
        <f t="shared" si="164"/>
        <v>0</v>
      </c>
      <c r="AB587" s="187">
        <f t="shared" si="165"/>
        <v>0</v>
      </c>
      <c r="AC587" s="183">
        <f t="shared" si="166"/>
        <v>0</v>
      </c>
      <c r="AD587" s="188">
        <f t="shared" si="167"/>
        <v>0.77708333333430346</v>
      </c>
      <c r="AE587" s="188">
        <f t="shared" si="168"/>
        <v>0.77708333333430346</v>
      </c>
      <c r="AF587" s="188">
        <f t="shared" si="169"/>
        <v>0</v>
      </c>
      <c r="AG587" s="188">
        <f t="shared" si="170"/>
        <v>0</v>
      </c>
    </row>
    <row r="588" spans="2:33" ht="15" customHeight="1" x14ac:dyDescent="0.15">
      <c r="B588" s="174" t="s">
        <v>7</v>
      </c>
      <c r="C588" s="175" t="s">
        <v>15</v>
      </c>
      <c r="D588" s="176" t="str">
        <f t="shared" si="152"/>
        <v>C</v>
      </c>
      <c r="E588" s="177" t="d">
        <v>2021-03-26T11:15:00.000</v>
      </c>
      <c r="F588" s="178" t="s">
        <v>102</v>
      </c>
      <c r="G588" s="179">
        <v>150.65199999999999</v>
      </c>
      <c r="H588" s="179">
        <v>150.34399999999999</v>
      </c>
      <c r="I588" s="180">
        <f t="shared" si="153"/>
        <v>0.30799999999999272</v>
      </c>
      <c r="J588" s="179">
        <v>152.29499999999999</v>
      </c>
      <c r="K588" s="177" t="d">
        <v>2021-03-26T18:59:59.99999979045242400</v>
      </c>
      <c r="L588" s="179">
        <v>151.02799999999999</v>
      </c>
      <c r="M588" s="181">
        <f t="shared" si="154"/>
        <v>0.376</v>
      </c>
      <c r="N588" s="182">
        <f t="shared" si="155"/>
        <v>1.22</v>
      </c>
      <c r="O588" s="183">
        <f t="shared" si="156"/>
        <v>0</v>
      </c>
      <c r="P588" s="184">
        <f t="shared" si="157"/>
        <v>1.22</v>
      </c>
      <c r="Q588" s="184">
        <f t="shared" si="158"/>
        <v>0</v>
      </c>
      <c r="R58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26785</v>
      </c>
      <c r="T58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588" s="186">
        <f ca="1">IF(Tabla33610673[[#This Row],[Equity]]&lt;Tabla33610673[[#This Row],[Equity Peak]],(Tabla33610673[[#This Row],[Equity Peak]]-Tabla33610673[[#This Row],[Equity]])/Tabla33610673[[#This Row],[Equity Peak]],"")</f>
        <v>3.5730357303573039E-2</v>
      </c>
      <c r="V588" s="187">
        <f t="shared" si="159"/>
        <v>1.22</v>
      </c>
      <c r="W588" s="187">
        <f t="shared" si="160"/>
        <v>0</v>
      </c>
      <c r="X588" s="187">
        <f t="shared" si="161"/>
        <v>0</v>
      </c>
      <c r="Y588" s="187">
        <f t="shared" si="162"/>
        <v>0</v>
      </c>
      <c r="Z588" s="187">
        <f t="shared" si="163"/>
        <v>0</v>
      </c>
      <c r="AA588" s="183">
        <f t="shared" si="164"/>
        <v>0</v>
      </c>
      <c r="AB588" s="187">
        <f t="shared" si="165"/>
        <v>0</v>
      </c>
      <c r="AC588" s="183">
        <f t="shared" si="166"/>
        <v>0</v>
      </c>
      <c r="AD588" s="188">
        <f t="shared" si="167"/>
        <v>0.32291666666424135</v>
      </c>
      <c r="AE588" s="188">
        <f t="shared" si="168"/>
        <v>0.32291666666424135</v>
      </c>
      <c r="AF588" s="188">
        <f t="shared" si="169"/>
        <v>0</v>
      </c>
      <c r="AG588" s="188">
        <f t="shared" si="170"/>
        <v>0</v>
      </c>
    </row>
    <row r="589" spans="2:33" ht="15" customHeight="1" x14ac:dyDescent="0.15">
      <c r="B589" s="174" t="s">
        <v>7</v>
      </c>
      <c r="C589" s="175" t="s">
        <v>15</v>
      </c>
      <c r="D589" s="176" t="str">
        <f t="shared" si="152"/>
        <v>C</v>
      </c>
      <c r="E589" s="177" t="d">
        <v>2021-03-26T11:15:00.000</v>
      </c>
      <c r="F589" s="178" t="s">
        <v>103</v>
      </c>
      <c r="G589" s="179">
        <v>109.386</v>
      </c>
      <c r="H589" s="179">
        <v>109.221</v>
      </c>
      <c r="I589" s="180">
        <f t="shared" si="153"/>
        <v>0.16499999999999204</v>
      </c>
      <c r="J589" s="179">
        <v>110.423</v>
      </c>
      <c r="K589" s="177" t="d">
        <v>2021-03-26T18:52:00.00000011175870900</v>
      </c>
      <c r="L589" s="179">
        <v>109.601</v>
      </c>
      <c r="M589" s="181">
        <f t="shared" si="154"/>
        <v>0.215</v>
      </c>
      <c r="N589" s="182">
        <f t="shared" si="155"/>
        <v>1.3</v>
      </c>
      <c r="O589" s="183">
        <f t="shared" si="156"/>
        <v>0</v>
      </c>
      <c r="P589" s="184">
        <f t="shared" si="157"/>
        <v>1.3</v>
      </c>
      <c r="Q589" s="184">
        <f t="shared" si="158"/>
        <v>0</v>
      </c>
      <c r="R58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26480</v>
      </c>
      <c r="T58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589" s="186">
        <f ca="1">IF(Tabla33610673[[#This Row],[Equity]]&lt;Tabla33610673[[#This Row],[Equity Peak]],(Tabla33610673[[#This Row],[Equity Peak]]-Tabla33610673[[#This Row],[Equity]])/Tabla33610673[[#This Row],[Equity Peak]],"")</f>
        <v>4.6710467104671048E-2</v>
      </c>
      <c r="V589" s="187">
        <f t="shared" si="159"/>
        <v>1.3</v>
      </c>
      <c r="W589" s="187">
        <f t="shared" si="160"/>
        <v>0</v>
      </c>
      <c r="X589" s="187">
        <f t="shared" si="161"/>
        <v>0</v>
      </c>
      <c r="Y589" s="187">
        <f t="shared" si="162"/>
        <v>0</v>
      </c>
      <c r="Z589" s="187">
        <f t="shared" si="163"/>
        <v>0</v>
      </c>
      <c r="AA589" s="183">
        <f t="shared" si="164"/>
        <v>0</v>
      </c>
      <c r="AB589" s="187">
        <f t="shared" si="165"/>
        <v>0</v>
      </c>
      <c r="AC589" s="183">
        <f t="shared" si="166"/>
        <v>0</v>
      </c>
      <c r="AD589" s="188">
        <f t="shared" si="167"/>
        <v>0.31736111111240461</v>
      </c>
      <c r="AE589" s="188">
        <f t="shared" si="168"/>
        <v>0.31736111111240461</v>
      </c>
      <c r="AF589" s="188">
        <f t="shared" si="169"/>
        <v>0</v>
      </c>
      <c r="AG589" s="188">
        <f t="shared" si="170"/>
        <v>0</v>
      </c>
    </row>
    <row r="590" spans="2:33" ht="15" customHeight="1" x14ac:dyDescent="0.15">
      <c r="B590" s="174" t="s">
        <v>19</v>
      </c>
      <c r="C590" s="175" t="s">
        <v>15</v>
      </c>
      <c r="D590" s="176" t="str">
        <f t="shared" si="152"/>
        <v>C</v>
      </c>
      <c r="E590" s="177" t="d">
        <v>2021-03-26T12:45:00.000</v>
      </c>
      <c r="F590" s="178" t="s">
        <v>77</v>
      </c>
      <c r="G590" s="179">
        <v>1731.4</v>
      </c>
      <c r="H590" s="179">
        <v>1726.29</v>
      </c>
      <c r="I590" s="180">
        <f t="shared" si="153"/>
        <v>5.1100000000001273</v>
      </c>
      <c r="J590" s="179">
        <v>1755.94</v>
      </c>
      <c r="K590" s="177" t="d">
        <v>2021-03-26T13:30:00.000</v>
      </c>
      <c r="L590" s="179">
        <v>1726.29</v>
      </c>
      <c r="M590" s="181">
        <f t="shared" si="154"/>
        <v>-5.1100000000000003</v>
      </c>
      <c r="N590" s="182">
        <f t="shared" si="155"/>
        <v>-1</v>
      </c>
      <c r="O590" s="183">
        <f t="shared" si="156"/>
        <v>0</v>
      </c>
      <c r="P590" s="184">
        <f t="shared" si="157"/>
        <v>0</v>
      </c>
      <c r="Q590" s="184">
        <f t="shared" si="158"/>
        <v>-1</v>
      </c>
      <c r="R59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26155</v>
      </c>
      <c r="T59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590" s="186">
        <f ca="1">IF(Tabla33610673[[#This Row],[Equity]]&lt;Tabla33610673[[#This Row],[Equity Peak]],(Tabla33610673[[#This Row],[Equity Peak]]-Tabla33610673[[#This Row],[Equity]])/Tabla33610673[[#This Row],[Equity Peak]],"")</f>
        <v>5.841058410584106E-2</v>
      </c>
      <c r="V590" s="187">
        <f t="shared" si="159"/>
        <v>0</v>
      </c>
      <c r="W590" s="187">
        <f t="shared" si="160"/>
        <v>0</v>
      </c>
      <c r="X590" s="187">
        <f t="shared" si="161"/>
        <v>-1</v>
      </c>
      <c r="Y590" s="187">
        <f t="shared" si="162"/>
        <v>0</v>
      </c>
      <c r="Z590" s="187">
        <f t="shared" si="163"/>
        <v>0</v>
      </c>
      <c r="AA590" s="183">
        <f t="shared" si="164"/>
        <v>0</v>
      </c>
      <c r="AB590" s="187">
        <f t="shared" si="165"/>
        <v>0</v>
      </c>
      <c r="AC590" s="183">
        <f t="shared" si="166"/>
        <v>0</v>
      </c>
      <c r="AD590" s="188">
        <f t="shared" si="167"/>
        <v>3.125E-2</v>
      </c>
      <c r="AE590" s="188">
        <f t="shared" si="168"/>
        <v>0</v>
      </c>
      <c r="AF590" s="188">
        <f t="shared" si="169"/>
        <v>3.125E-2</v>
      </c>
      <c r="AG590" s="188">
        <f t="shared" si="170"/>
        <v>0</v>
      </c>
    </row>
    <row r="591" spans="2:33" ht="15" customHeight="1" x14ac:dyDescent="0.15">
      <c r="B591" s="174" t="s">
        <v>5</v>
      </c>
      <c r="C591" s="175" t="s">
        <v>13</v>
      </c>
      <c r="D591" s="176" t="str">
        <f t="shared" si="152"/>
        <v>C</v>
      </c>
      <c r="E591" s="177" t="d">
        <v>2021-03-24T22:44:59.99999979045242400</v>
      </c>
      <c r="F591" s="178" t="s">
        <v>82</v>
      </c>
      <c r="G591" s="179">
        <v>3902.97</v>
      </c>
      <c r="H591" s="179">
        <v>3923.69</v>
      </c>
      <c r="I591" s="180">
        <f t="shared" si="153"/>
        <v>20.720000000000255</v>
      </c>
      <c r="J591" s="179">
        <v>3768.29</v>
      </c>
      <c r="K591" s="177" t="d">
        <v>2021-03-25T18:53:59.99999987427145575</v>
      </c>
      <c r="L591" s="179">
        <v>3884.42</v>
      </c>
      <c r="M591" s="181">
        <f t="shared" si="154"/>
        <v>18.55</v>
      </c>
      <c r="N591" s="182">
        <f t="shared" si="155"/>
        <v>0.9</v>
      </c>
      <c r="O591" s="183">
        <f t="shared" si="156"/>
        <v>0</v>
      </c>
      <c r="P591" s="184">
        <f t="shared" si="157"/>
        <v>0.9</v>
      </c>
      <c r="Q591" s="184">
        <f t="shared" si="158"/>
        <v>0</v>
      </c>
      <c r="R59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26405</v>
      </c>
      <c r="T59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591" s="186">
        <f ca="1">IF(Tabla33610673[[#This Row],[Equity]]&lt;Tabla33610673[[#This Row],[Equity Peak]],(Tabla33610673[[#This Row],[Equity Peak]]-Tabla33610673[[#This Row],[Equity]])/Tabla33610673[[#This Row],[Equity Peak]],"")</f>
        <v>4.9410494104941048E-2</v>
      </c>
      <c r="V591" s="187">
        <f t="shared" si="159"/>
        <v>0</v>
      </c>
      <c r="W591" s="187">
        <f t="shared" si="160"/>
        <v>0</v>
      </c>
      <c r="X591" s="187">
        <f t="shared" si="161"/>
        <v>0</v>
      </c>
      <c r="Y591" s="187">
        <f t="shared" si="162"/>
        <v>0</v>
      </c>
      <c r="Z591" s="187">
        <f t="shared" si="163"/>
        <v>0.9</v>
      </c>
      <c r="AA591" s="183">
        <f t="shared" si="164"/>
        <v>0</v>
      </c>
      <c r="AB591" s="187">
        <f t="shared" si="165"/>
        <v>0</v>
      </c>
      <c r="AC591" s="183">
        <f t="shared" si="166"/>
        <v>0</v>
      </c>
      <c r="AD591" s="188">
        <f t="shared" si="167"/>
        <v>0.83958333333430346</v>
      </c>
      <c r="AE591" s="188">
        <f t="shared" si="168"/>
        <v>0.83958333333430346</v>
      </c>
      <c r="AF591" s="188">
        <f t="shared" si="169"/>
        <v>0</v>
      </c>
      <c r="AG591" s="188">
        <f t="shared" si="170"/>
        <v>0</v>
      </c>
    </row>
    <row r="592" spans="2:33" ht="15" customHeight="1" x14ac:dyDescent="0.15">
      <c r="B592" s="174" t="s">
        <v>19</v>
      </c>
      <c r="C592" s="175" t="s">
        <v>15</v>
      </c>
      <c r="D592" s="176" t="str">
        <f t="shared" si="152"/>
        <v>C</v>
      </c>
      <c r="E592" s="177" t="d">
        <v>2021-03-25T16:30:00.000</v>
      </c>
      <c r="F592" s="178" t="s">
        <v>77</v>
      </c>
      <c r="G592" s="179">
        <v>1740.1</v>
      </c>
      <c r="H592" s="179">
        <v>1734.65</v>
      </c>
      <c r="I592" s="180">
        <f t="shared" si="153"/>
        <v>5.4499999999998181</v>
      </c>
      <c r="J592" s="179">
        <v>1766.24</v>
      </c>
      <c r="K592" s="177" t="d">
        <v>2021-03-25T17:36:59.99999990221113300</v>
      </c>
      <c r="L592" s="179">
        <v>1734.65</v>
      </c>
      <c r="M592" s="181">
        <f t="shared" si="154"/>
        <v>-5.45</v>
      </c>
      <c r="N592" s="182">
        <f t="shared" si="155"/>
        <v>-1</v>
      </c>
      <c r="O592" s="183">
        <f t="shared" si="156"/>
        <v>0</v>
      </c>
      <c r="P592" s="184">
        <f t="shared" si="157"/>
        <v>0</v>
      </c>
      <c r="Q592" s="184">
        <f t="shared" si="158"/>
        <v>-1</v>
      </c>
      <c r="R59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26180</v>
      </c>
      <c r="T59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592" s="186">
        <f ca="1">IF(Tabla33610673[[#This Row],[Equity]]&lt;Tabla33610673[[#This Row],[Equity Peak]],(Tabla33610673[[#This Row],[Equity Peak]]-Tabla33610673[[#This Row],[Equity]])/Tabla33610673[[#This Row],[Equity Peak]],"")</f>
        <v>5.7510575105751055E-2</v>
      </c>
      <c r="V592" s="187">
        <f t="shared" si="159"/>
        <v>0</v>
      </c>
      <c r="W592" s="187">
        <f t="shared" si="160"/>
        <v>0</v>
      </c>
      <c r="X592" s="187">
        <f t="shared" si="161"/>
        <v>-1</v>
      </c>
      <c r="Y592" s="187">
        <f t="shared" si="162"/>
        <v>0</v>
      </c>
      <c r="Z592" s="187">
        <f t="shared" si="163"/>
        <v>0</v>
      </c>
      <c r="AA592" s="183">
        <f t="shared" si="164"/>
        <v>0</v>
      </c>
      <c r="AB592" s="187">
        <f t="shared" si="165"/>
        <v>0</v>
      </c>
      <c r="AC592" s="183">
        <f t="shared" si="166"/>
        <v>0</v>
      </c>
      <c r="AD592" s="188">
        <f t="shared" si="167"/>
        <v>4.6527777776645962E-2</v>
      </c>
      <c r="AE592" s="188">
        <f t="shared" si="168"/>
        <v>0</v>
      </c>
      <c r="AF592" s="188">
        <f t="shared" si="169"/>
        <v>4.6527777776645962E-2</v>
      </c>
      <c r="AG592" s="188">
        <f t="shared" si="170"/>
        <v>0</v>
      </c>
    </row>
    <row r="593" spans="2:33" ht="15" customHeight="1" x14ac:dyDescent="0.15">
      <c r="B593" s="174" t="s">
        <v>5</v>
      </c>
      <c r="C593" s="175" t="s">
        <v>13</v>
      </c>
      <c r="D593" s="176" t="str">
        <f t="shared" ref="D593:D656" si="171">IF(E593&lt;&gt;"",IF(K593&lt;&gt;"","C","O"),"")</f>
        <v>C</v>
      </c>
      <c r="E593" s="177" t="d">
        <v>2021-03-25T15:00:00.000</v>
      </c>
      <c r="F593" s="178" t="s">
        <v>80</v>
      </c>
      <c r="G593" s="179">
        <v>14461.36</v>
      </c>
      <c r="H593" s="179">
        <v>14512.79</v>
      </c>
      <c r="I593" s="180">
        <f t="shared" ref="I593:I656" si="172">ABS(G593-H593)</f>
        <v>51.430000000000291</v>
      </c>
      <c r="J593" s="179">
        <v>14084.23</v>
      </c>
      <c r="K593" s="177" t="d">
        <v>2021-03-25T17:06:00.00000012572854425</v>
      </c>
      <c r="L593" s="179">
        <v>14503.86</v>
      </c>
      <c r="M593" s="181">
        <f t="shared" ref="M593:M656" si="173">ROUND(IF(C593="L",(L593-G593),(G593-L593)),4)</f>
        <v>-42.5</v>
      </c>
      <c r="N593" s="182">
        <f t="shared" ref="N593:N656" si="174">IFERROR(ROUND((M593/I593),2),"")</f>
        <v>-0.83</v>
      </c>
      <c r="O593" s="183">
        <f t="shared" ref="O593:O656" si="175">IF(D593="O",IF(N593&lt;0,N593,0),0)</f>
        <v>0</v>
      </c>
      <c r="P593" s="184">
        <f t="shared" ref="P593:P656" si="176">IF(N593&gt;= 0,N593,0)</f>
        <v>0</v>
      </c>
      <c r="Q593" s="184">
        <f t="shared" ref="Q593:Q656" si="177">IF(N593&lt;0,N593,0)</f>
        <v>-0.83</v>
      </c>
      <c r="R59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26430</v>
      </c>
      <c r="T59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593" s="186">
        <f ca="1">IF(Tabla33610673[[#This Row],[Equity]]&lt;Tabla33610673[[#This Row],[Equity Peak]],(Tabla33610673[[#This Row],[Equity Peak]]-Tabla33610673[[#This Row],[Equity]])/Tabla33610673[[#This Row],[Equity Peak]],"")</f>
        <v>4.851048510485105E-2</v>
      </c>
      <c r="V593" s="187">
        <f t="shared" ref="V593:V656" si="178">IF(B593="FX",N593,0)</f>
        <v>0</v>
      </c>
      <c r="W593" s="187">
        <f t="shared" ref="W593:W656" si="179">IF(D593="O",IF(V593&lt;0,V593,0),0)</f>
        <v>0</v>
      </c>
      <c r="X593" s="187">
        <f t="shared" ref="X593:X656" si="180">IF(B593="COM",N593,0)</f>
        <v>0</v>
      </c>
      <c r="Y593" s="187">
        <f t="shared" ref="Y593:Y656" si="181">IF(D593="O",IF(X593&lt;0,X593,0),0)</f>
        <v>0</v>
      </c>
      <c r="Z593" s="187">
        <f t="shared" ref="Z593:Z656" si="182">IF(B593="IND",N593,0)</f>
        <v>-0.83</v>
      </c>
      <c r="AA593" s="183">
        <f t="shared" ref="AA593:AA656" si="183">IF(D593="O",IF(Z593&lt;0,Z593,0),0)</f>
        <v>0</v>
      </c>
      <c r="AB593" s="187">
        <f t="shared" ref="AB593:AB656" si="184">IF(B593="CRYPTO",N593,0)</f>
        <v>0</v>
      </c>
      <c r="AC593" s="183">
        <f t="shared" ref="AC593:AC656" si="185">IF(D593="O",IF(AB593&lt;0,AB593,0),0)</f>
        <v>0</v>
      </c>
      <c r="AD593" s="188">
        <f t="shared" ref="AD593:AD656" si="186">IF(K593&lt;&gt;"",K593-E593,0)</f>
        <v>8.7500000001455192E-2</v>
      </c>
      <c r="AE593" s="188">
        <f t="shared" ref="AE593:AE656" si="187">IF(N593&gt;0,AD593,0)</f>
        <v>0</v>
      </c>
      <c r="AF593" s="188">
        <f t="shared" ref="AF593:AF656" si="188">IF(N593&lt;0,AD593,0)</f>
        <v>8.7500000001455192E-2</v>
      </c>
      <c r="AG593" s="188">
        <f t="shared" ref="AG593:AG656" si="189">IF(N593=0,AD593,0)</f>
        <v>0</v>
      </c>
    </row>
    <row r="594" spans="2:33" ht="15" customHeight="1" x14ac:dyDescent="0.15">
      <c r="B594" s="174" t="s">
        <v>5</v>
      </c>
      <c r="C594" s="175" t="s">
        <v>13</v>
      </c>
      <c r="D594" s="176" t="str">
        <f t="shared" si="171"/>
        <v>C</v>
      </c>
      <c r="E594" s="177" t="d">
        <v>2021-03-24T20:15:00.000</v>
      </c>
      <c r="F594" s="178" t="s">
        <v>81</v>
      </c>
      <c r="G594" s="179">
        <v>12900.68</v>
      </c>
      <c r="H594" s="179">
        <v>12971.76</v>
      </c>
      <c r="I594" s="180">
        <f t="shared" si="172"/>
        <v>71.079999999999927</v>
      </c>
      <c r="J594" s="179">
        <v>12474.22</v>
      </c>
      <c r="K594" s="177" t="d">
        <v>2021-03-25T16:38:59.99999987427145575</v>
      </c>
      <c r="L594" s="179">
        <v>12800.68</v>
      </c>
      <c r="M594" s="181">
        <f t="shared" si="173"/>
        <v>100</v>
      </c>
      <c r="N594" s="182">
        <f t="shared" si="174"/>
        <v>1.41</v>
      </c>
      <c r="O594" s="183">
        <f t="shared" si="175"/>
        <v>0</v>
      </c>
      <c r="P594" s="184">
        <f t="shared" si="176"/>
        <v>1.41</v>
      </c>
      <c r="Q594" s="184">
        <f t="shared" si="177"/>
        <v>0</v>
      </c>
      <c r="R59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26637.5</v>
      </c>
      <c r="T59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594" s="186">
        <f ca="1">IF(Tabla33610673[[#This Row],[Equity]]&lt;Tabla33610673[[#This Row],[Equity Peak]],(Tabla33610673[[#This Row],[Equity Peak]]-Tabla33610673[[#This Row],[Equity]])/Tabla33610673[[#This Row],[Equity Peak]],"")</f>
        <v>4.1040410404104041E-2</v>
      </c>
      <c r="V594" s="187">
        <f t="shared" si="178"/>
        <v>0</v>
      </c>
      <c r="W594" s="187">
        <f t="shared" si="179"/>
        <v>0</v>
      </c>
      <c r="X594" s="187">
        <f t="shared" si="180"/>
        <v>0</v>
      </c>
      <c r="Y594" s="187">
        <f t="shared" si="181"/>
        <v>0</v>
      </c>
      <c r="Z594" s="187">
        <f t="shared" si="182"/>
        <v>1.41</v>
      </c>
      <c r="AA594" s="183">
        <f t="shared" si="183"/>
        <v>0</v>
      </c>
      <c r="AB594" s="187">
        <f t="shared" si="184"/>
        <v>0</v>
      </c>
      <c r="AC594" s="183">
        <f t="shared" si="185"/>
        <v>0</v>
      </c>
      <c r="AD594" s="188">
        <f t="shared" si="186"/>
        <v>0.84999999999854481</v>
      </c>
      <c r="AE594" s="188">
        <f t="shared" si="187"/>
        <v>0.84999999999854481</v>
      </c>
      <c r="AF594" s="188">
        <f t="shared" si="188"/>
        <v>0</v>
      </c>
      <c r="AG594" s="188">
        <f t="shared" si="189"/>
        <v>0</v>
      </c>
    </row>
    <row r="595" spans="2:33" ht="15" customHeight="1" x14ac:dyDescent="0.15">
      <c r="B595" s="174" t="s">
        <v>19</v>
      </c>
      <c r="C595" s="175" t="s">
        <v>15</v>
      </c>
      <c r="D595" s="176" t="str">
        <f t="shared" si="171"/>
        <v>C</v>
      </c>
      <c r="E595" s="177" t="d">
        <v>2021-03-24T19:15:00.00000020954757600</v>
      </c>
      <c r="F595" s="178" t="s">
        <v>77</v>
      </c>
      <c r="G595" s="179">
        <v>1736.87</v>
      </c>
      <c r="H595" s="179">
        <v>1731.1</v>
      </c>
      <c r="I595" s="180">
        <f t="shared" si="172"/>
        <v>5.7699999999999818</v>
      </c>
      <c r="J595" s="179">
        <v>1764.57</v>
      </c>
      <c r="K595" s="177" t="d">
        <v>2021-03-25T10:09:00.00000029336660775</v>
      </c>
      <c r="L595" s="179">
        <v>1731.1</v>
      </c>
      <c r="M595" s="181">
        <f t="shared" si="173"/>
        <v>-5.77</v>
      </c>
      <c r="N595" s="182">
        <f t="shared" si="174"/>
        <v>-1</v>
      </c>
      <c r="O595" s="183">
        <f t="shared" si="175"/>
        <v>0</v>
      </c>
      <c r="P595" s="184">
        <f t="shared" si="176"/>
        <v>0</v>
      </c>
      <c r="Q595" s="184">
        <f t="shared" si="177"/>
        <v>-1</v>
      </c>
      <c r="R59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26285</v>
      </c>
      <c r="T59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595" s="186">
        <f ca="1">IF(Tabla33610673[[#This Row],[Equity]]&lt;Tabla33610673[[#This Row],[Equity Peak]],(Tabla33610673[[#This Row],[Equity Peak]]-Tabla33610673[[#This Row],[Equity]])/Tabla33610673[[#This Row],[Equity Peak]],"")</f>
        <v>5.3730537305373055E-2</v>
      </c>
      <c r="V595" s="187">
        <f t="shared" si="178"/>
        <v>0</v>
      </c>
      <c r="W595" s="187">
        <f t="shared" si="179"/>
        <v>0</v>
      </c>
      <c r="X595" s="187">
        <f t="shared" si="180"/>
        <v>-1</v>
      </c>
      <c r="Y595" s="187">
        <f t="shared" si="181"/>
        <v>0</v>
      </c>
      <c r="Z595" s="187">
        <f t="shared" si="182"/>
        <v>0</v>
      </c>
      <c r="AA595" s="183">
        <f t="shared" si="183"/>
        <v>0</v>
      </c>
      <c r="AB595" s="187">
        <f t="shared" si="184"/>
        <v>0</v>
      </c>
      <c r="AC595" s="183">
        <f t="shared" si="185"/>
        <v>0</v>
      </c>
      <c r="AD595" s="188">
        <f t="shared" si="186"/>
        <v>0.62083333333430346</v>
      </c>
      <c r="AE595" s="188">
        <f t="shared" si="187"/>
        <v>0</v>
      </c>
      <c r="AF595" s="188">
        <f t="shared" si="188"/>
        <v>0.62083333333430346</v>
      </c>
      <c r="AG595" s="188">
        <f t="shared" si="189"/>
        <v>0</v>
      </c>
    </row>
    <row r="596" spans="2:33" ht="15" customHeight="1" x14ac:dyDescent="0.15">
      <c r="B596" s="174" t="s">
        <v>5</v>
      </c>
      <c r="C596" s="175" t="s">
        <v>15</v>
      </c>
      <c r="D596" s="176" t="str">
        <f t="shared" si="171"/>
        <v>C</v>
      </c>
      <c r="E596" s="177" t="d">
        <v>2021-03-24T16:44:59.99999979045242400</v>
      </c>
      <c r="F596" s="178" t="s">
        <v>82</v>
      </c>
      <c r="G596" s="179">
        <v>3932.5</v>
      </c>
      <c r="H596" s="179">
        <v>3913.09</v>
      </c>
      <c r="I596" s="180">
        <f t="shared" si="172"/>
        <v>19.409999999999854</v>
      </c>
      <c r="J596" s="179">
        <v>4058.64</v>
      </c>
      <c r="K596" s="177" t="d">
        <v>2021-03-24T20:13:00.00000023748725325</v>
      </c>
      <c r="L596" s="179">
        <v>3919.68</v>
      </c>
      <c r="M596" s="181">
        <f t="shared" si="173"/>
        <v>-12.82</v>
      </c>
      <c r="N596" s="182">
        <f t="shared" si="174"/>
        <v>-0.66</v>
      </c>
      <c r="O596" s="183">
        <f t="shared" si="175"/>
        <v>0</v>
      </c>
      <c r="P596" s="184">
        <f t="shared" si="176"/>
        <v>0</v>
      </c>
      <c r="Q596" s="184">
        <f t="shared" si="177"/>
        <v>-0.66</v>
      </c>
      <c r="R59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26535</v>
      </c>
      <c r="T59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596" s="186">
        <f ca="1">IF(Tabla33610673[[#This Row],[Equity]]&lt;Tabla33610673[[#This Row],[Equity Peak]],(Tabla33610673[[#This Row],[Equity Peak]]-Tabla33610673[[#This Row],[Equity]])/Tabla33610673[[#This Row],[Equity Peak]],"")</f>
        <v>4.4730447304473044E-2</v>
      </c>
      <c r="V596" s="187">
        <f t="shared" si="178"/>
        <v>0</v>
      </c>
      <c r="W596" s="187">
        <f t="shared" si="179"/>
        <v>0</v>
      </c>
      <c r="X596" s="187">
        <f t="shared" si="180"/>
        <v>0</v>
      </c>
      <c r="Y596" s="187">
        <f t="shared" si="181"/>
        <v>0</v>
      </c>
      <c r="Z596" s="187">
        <f t="shared" si="182"/>
        <v>-0.66</v>
      </c>
      <c r="AA596" s="183">
        <f t="shared" si="183"/>
        <v>0</v>
      </c>
      <c r="AB596" s="187">
        <f t="shared" si="184"/>
        <v>0</v>
      </c>
      <c r="AC596" s="183">
        <f t="shared" si="185"/>
        <v>0</v>
      </c>
      <c r="AD596" s="188">
        <f t="shared" si="186"/>
        <v>0.14444444444961846</v>
      </c>
      <c r="AE596" s="188">
        <f t="shared" si="187"/>
        <v>0</v>
      </c>
      <c r="AF596" s="188">
        <f t="shared" si="188"/>
        <v>0.14444444444961846</v>
      </c>
      <c r="AG596" s="188">
        <f t="shared" si="189"/>
        <v>0</v>
      </c>
    </row>
    <row r="597" spans="2:33" ht="15" customHeight="1" x14ac:dyDescent="0.15">
      <c r="B597" s="174" t="s">
        <v>5</v>
      </c>
      <c r="C597" s="175" t="s">
        <v>13</v>
      </c>
      <c r="D597" s="176" t="str">
        <f t="shared" si="171"/>
        <v>C</v>
      </c>
      <c r="E597" s="177" t="d">
        <v>2021-03-24T17:00:00.00000020954757600</v>
      </c>
      <c r="F597" s="178" t="s">
        <v>81</v>
      </c>
      <c r="G597" s="179">
        <v>12973.93</v>
      </c>
      <c r="H597" s="179">
        <v>13042.29</v>
      </c>
      <c r="I597" s="180">
        <f t="shared" si="172"/>
        <v>68.360000000000582</v>
      </c>
      <c r="J597" s="179">
        <v>12563.76</v>
      </c>
      <c r="K597" s="177" t="d">
        <v>2021-03-24T18:07:00.00000011175870900</v>
      </c>
      <c r="L597" s="179">
        <v>13042.29</v>
      </c>
      <c r="M597" s="181">
        <f t="shared" si="173"/>
        <v>-68.36</v>
      </c>
      <c r="N597" s="182">
        <f t="shared" si="174"/>
        <v>-1</v>
      </c>
      <c r="O597" s="183">
        <f t="shared" si="175"/>
        <v>0</v>
      </c>
      <c r="P597" s="184">
        <f t="shared" si="176"/>
        <v>0</v>
      </c>
      <c r="Q597" s="184">
        <f t="shared" si="177"/>
        <v>-1</v>
      </c>
      <c r="R59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26700</v>
      </c>
      <c r="T59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597" s="186">
        <f ca="1">IF(Tabla33610673[[#This Row],[Equity]]&lt;Tabla33610673[[#This Row],[Equity Peak]],(Tabla33610673[[#This Row],[Equity Peak]]-Tabla33610673[[#This Row],[Equity]])/Tabla33610673[[#This Row],[Equity Peak]],"")</f>
        <v>3.8790387903879037E-2</v>
      </c>
      <c r="V597" s="187">
        <f t="shared" si="178"/>
        <v>0</v>
      </c>
      <c r="W597" s="187">
        <f t="shared" si="179"/>
        <v>0</v>
      </c>
      <c r="X597" s="187">
        <f t="shared" si="180"/>
        <v>0</v>
      </c>
      <c r="Y597" s="187">
        <f t="shared" si="181"/>
        <v>0</v>
      </c>
      <c r="Z597" s="187">
        <f t="shared" si="182"/>
        <v>-1</v>
      </c>
      <c r="AA597" s="183">
        <f t="shared" si="183"/>
        <v>0</v>
      </c>
      <c r="AB597" s="187">
        <f t="shared" si="184"/>
        <v>0</v>
      </c>
      <c r="AC597" s="183">
        <f t="shared" si="185"/>
        <v>0</v>
      </c>
      <c r="AD597" s="188">
        <f t="shared" si="186"/>
        <v>4.6527777776645962E-2</v>
      </c>
      <c r="AE597" s="188">
        <f t="shared" si="187"/>
        <v>0</v>
      </c>
      <c r="AF597" s="188">
        <f t="shared" si="188"/>
        <v>4.6527777776645962E-2</v>
      </c>
      <c r="AG597" s="188">
        <f t="shared" si="189"/>
        <v>0</v>
      </c>
    </row>
    <row r="598" spans="2:33" ht="15" customHeight="1" x14ac:dyDescent="0.15">
      <c r="B598" s="174" t="s">
        <v>5</v>
      </c>
      <c r="C598" s="175" t="s">
        <v>13</v>
      </c>
      <c r="D598" s="176" t="str">
        <f t="shared" si="171"/>
        <v>C</v>
      </c>
      <c r="E598" s="177" t="d">
        <v>2021-03-23T22:15:00.00000020954757600</v>
      </c>
      <c r="F598" s="178" t="s">
        <v>82</v>
      </c>
      <c r="G598" s="179">
        <v>3916.18</v>
      </c>
      <c r="H598" s="179">
        <v>3936.36</v>
      </c>
      <c r="I598" s="180">
        <f t="shared" si="172"/>
        <v>20.180000000000291</v>
      </c>
      <c r="J598" s="179">
        <v>3785.04</v>
      </c>
      <c r="K598" s="177" t="d">
        <v>2021-03-24T11:54:00.00000008381903175</v>
      </c>
      <c r="L598" s="179">
        <v>3926.31</v>
      </c>
      <c r="M598" s="181">
        <f t="shared" si="173"/>
        <v>-10.130000000000001</v>
      </c>
      <c r="N598" s="182">
        <f t="shared" si="174"/>
        <v>-0.5</v>
      </c>
      <c r="O598" s="183">
        <f t="shared" si="175"/>
        <v>0</v>
      </c>
      <c r="P598" s="184">
        <f t="shared" si="176"/>
        <v>0</v>
      </c>
      <c r="Q598" s="184">
        <f t="shared" si="177"/>
        <v>-0.5</v>
      </c>
      <c r="R59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26950</v>
      </c>
      <c r="T59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598" s="186">
        <f ca="1">IF(Tabla33610673[[#This Row],[Equity]]&lt;Tabla33610673[[#This Row],[Equity Peak]],(Tabla33610673[[#This Row],[Equity Peak]]-Tabla33610673[[#This Row],[Equity]])/Tabla33610673[[#This Row],[Equity Peak]],"")</f>
        <v>2.9790297902979029E-2</v>
      </c>
      <c r="V598" s="187">
        <f t="shared" si="178"/>
        <v>0</v>
      </c>
      <c r="W598" s="187">
        <f t="shared" si="179"/>
        <v>0</v>
      </c>
      <c r="X598" s="187">
        <f t="shared" si="180"/>
        <v>0</v>
      </c>
      <c r="Y598" s="187">
        <f t="shared" si="181"/>
        <v>0</v>
      </c>
      <c r="Z598" s="187">
        <f t="shared" si="182"/>
        <v>-0.5</v>
      </c>
      <c r="AA598" s="183">
        <f t="shared" si="183"/>
        <v>0</v>
      </c>
      <c r="AB598" s="187">
        <f t="shared" si="184"/>
        <v>0</v>
      </c>
      <c r="AC598" s="183">
        <f t="shared" si="185"/>
        <v>0</v>
      </c>
      <c r="AD598" s="188">
        <f t="shared" si="186"/>
        <v>0.56874999999854481</v>
      </c>
      <c r="AE598" s="188">
        <f t="shared" si="187"/>
        <v>0</v>
      </c>
      <c r="AF598" s="188">
        <f t="shared" si="188"/>
        <v>0.56874999999854481</v>
      </c>
      <c r="AG598" s="188">
        <f t="shared" si="189"/>
        <v>0</v>
      </c>
    </row>
    <row r="599" spans="2:33" ht="15" customHeight="1" x14ac:dyDescent="0.15">
      <c r="B599" s="174" t="s">
        <v>5</v>
      </c>
      <c r="C599" s="175" t="s">
        <v>13</v>
      </c>
      <c r="D599" s="176" t="str">
        <f t="shared" si="171"/>
        <v>C</v>
      </c>
      <c r="E599" s="177" t="d">
        <v>2021-03-23T11:15:00.000</v>
      </c>
      <c r="F599" s="178" t="s">
        <v>82</v>
      </c>
      <c r="G599" s="179">
        <v>3929.51</v>
      </c>
      <c r="H599" s="179">
        <v>3948.98</v>
      </c>
      <c r="I599" s="180">
        <f t="shared" si="172"/>
        <v>19.4699999999998</v>
      </c>
      <c r="J599" s="179">
        <v>3802.94</v>
      </c>
      <c r="K599" s="177" t="d">
        <v>2021-03-23T17:06:59.99999969266355025</v>
      </c>
      <c r="L599" s="179">
        <v>3943.23</v>
      </c>
      <c r="M599" s="181">
        <f t="shared" si="173"/>
        <v>-13.72</v>
      </c>
      <c r="N599" s="182">
        <f t="shared" si="174"/>
        <v>-0.7</v>
      </c>
      <c r="O599" s="183">
        <f t="shared" si="175"/>
        <v>0</v>
      </c>
      <c r="P599" s="184">
        <f t="shared" si="176"/>
        <v>0</v>
      </c>
      <c r="Q599" s="184">
        <f t="shared" si="177"/>
        <v>-0.7</v>
      </c>
      <c r="R59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27075</v>
      </c>
      <c r="T59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599" s="186">
        <f ca="1">IF(Tabla33610673[[#This Row],[Equity]]&lt;Tabla33610673[[#This Row],[Equity Peak]],(Tabla33610673[[#This Row],[Equity Peak]]-Tabla33610673[[#This Row],[Equity]])/Tabla33610673[[#This Row],[Equity Peak]],"")</f>
        <v>2.5290252902529026E-2</v>
      </c>
      <c r="V599" s="187">
        <f t="shared" si="178"/>
        <v>0</v>
      </c>
      <c r="W599" s="187">
        <f t="shared" si="179"/>
        <v>0</v>
      </c>
      <c r="X599" s="187">
        <f t="shared" si="180"/>
        <v>0</v>
      </c>
      <c r="Y599" s="187">
        <f t="shared" si="181"/>
        <v>0</v>
      </c>
      <c r="Z599" s="187">
        <f t="shared" si="182"/>
        <v>-0.7</v>
      </c>
      <c r="AA599" s="183">
        <f t="shared" si="183"/>
        <v>0</v>
      </c>
      <c r="AB599" s="187">
        <f t="shared" si="184"/>
        <v>0</v>
      </c>
      <c r="AC599" s="183">
        <f t="shared" si="185"/>
        <v>0</v>
      </c>
      <c r="AD599" s="188">
        <f t="shared" si="186"/>
        <v>0.24444444444088731</v>
      </c>
      <c r="AE599" s="188">
        <f t="shared" si="187"/>
        <v>0</v>
      </c>
      <c r="AF599" s="188">
        <f t="shared" si="188"/>
        <v>0.24444444444088731</v>
      </c>
      <c r="AG599" s="188">
        <f t="shared" si="189"/>
        <v>0</v>
      </c>
    </row>
    <row r="600" spans="2:33" ht="15" customHeight="1" x14ac:dyDescent="0.15">
      <c r="B600" s="174" t="s">
        <v>19</v>
      </c>
      <c r="C600" s="175" t="s">
        <v>15</v>
      </c>
      <c r="D600" s="176" t="str">
        <f t="shared" si="171"/>
        <v>C</v>
      </c>
      <c r="E600" s="177" t="d">
        <v>2021-03-23T13:15:00.00000020954757600</v>
      </c>
      <c r="F600" s="178" t="s">
        <v>77</v>
      </c>
      <c r="G600" s="179">
        <v>1741.15</v>
      </c>
      <c r="H600" s="179">
        <v>1735.46</v>
      </c>
      <c r="I600" s="180">
        <f t="shared" si="172"/>
        <v>5.6900000000000546</v>
      </c>
      <c r="J600" s="179">
        <v>1768.48</v>
      </c>
      <c r="K600" s="177" t="d">
        <v>2021-03-23T16:09:00.00000029336660775</v>
      </c>
      <c r="L600" s="179">
        <v>1735.46</v>
      </c>
      <c r="M600" s="181">
        <f t="shared" si="173"/>
        <v>-5.69</v>
      </c>
      <c r="N600" s="182">
        <f t="shared" si="174"/>
        <v>-1</v>
      </c>
      <c r="O600" s="183">
        <f t="shared" si="175"/>
        <v>0</v>
      </c>
      <c r="P600" s="184">
        <f t="shared" si="176"/>
        <v>0</v>
      </c>
      <c r="Q600" s="184">
        <f t="shared" si="177"/>
        <v>-1</v>
      </c>
      <c r="R60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27250</v>
      </c>
      <c r="T60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600" s="186">
        <f ca="1">IF(Tabla33610673[[#This Row],[Equity]]&lt;Tabla33610673[[#This Row],[Equity Peak]],(Tabla33610673[[#This Row],[Equity Peak]]-Tabla33610673[[#This Row],[Equity]])/Tabla33610673[[#This Row],[Equity Peak]],"")</f>
        <v>1.8990189901899018E-2</v>
      </c>
      <c r="V600" s="187">
        <f t="shared" si="178"/>
        <v>0</v>
      </c>
      <c r="W600" s="187">
        <f t="shared" si="179"/>
        <v>0</v>
      </c>
      <c r="X600" s="187">
        <f t="shared" si="180"/>
        <v>-1</v>
      </c>
      <c r="Y600" s="187">
        <f t="shared" si="181"/>
        <v>0</v>
      </c>
      <c r="Z600" s="187">
        <f t="shared" si="182"/>
        <v>0</v>
      </c>
      <c r="AA600" s="183">
        <f t="shared" si="183"/>
        <v>0</v>
      </c>
      <c r="AB600" s="187">
        <f t="shared" si="184"/>
        <v>0</v>
      </c>
      <c r="AC600" s="183">
        <f t="shared" si="185"/>
        <v>0</v>
      </c>
      <c r="AD600" s="188">
        <f t="shared" si="186"/>
        <v>0.12083333333430346</v>
      </c>
      <c r="AE600" s="188">
        <f t="shared" si="187"/>
        <v>0</v>
      </c>
      <c r="AF600" s="188">
        <f t="shared" si="188"/>
        <v>0.12083333333430346</v>
      </c>
      <c r="AG600" s="188">
        <f t="shared" si="189"/>
        <v>0</v>
      </c>
    </row>
    <row r="601" spans="2:33" ht="15" customHeight="1" x14ac:dyDescent="0.15">
      <c r="B601" s="174" t="s">
        <v>7</v>
      </c>
      <c r="C601" s="175" t="s">
        <v>13</v>
      </c>
      <c r="D601" s="176" t="str">
        <f t="shared" si="171"/>
        <v>C</v>
      </c>
      <c r="E601" s="177" t="d">
        <v>2021-03-23T11:29:59.99999979045242400</v>
      </c>
      <c r="F601" s="178" t="s">
        <v>102</v>
      </c>
      <c r="G601" s="179">
        <v>150.19300000000001</v>
      </c>
      <c r="H601" s="179">
        <v>150.47</v>
      </c>
      <c r="I601" s="180">
        <f t="shared" si="172"/>
        <v>0.27699999999998681</v>
      </c>
      <c r="J601" s="179">
        <v>148.71700000000001</v>
      </c>
      <c r="K601" s="177" t="d">
        <v>2021-03-23T14:30:59.99999998603016475</v>
      </c>
      <c r="L601" s="179">
        <v>149.589</v>
      </c>
      <c r="M601" s="181">
        <f t="shared" si="173"/>
        <v>0.60399999999999998</v>
      </c>
      <c r="N601" s="182">
        <f t="shared" si="174"/>
        <v>2.1800000000000002</v>
      </c>
      <c r="O601" s="183">
        <f t="shared" si="175"/>
        <v>0</v>
      </c>
      <c r="P601" s="184">
        <f t="shared" si="176"/>
        <v>2.1800000000000002</v>
      </c>
      <c r="Q601" s="184">
        <f t="shared" si="177"/>
        <v>0</v>
      </c>
      <c r="R60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27500</v>
      </c>
      <c r="T60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601" s="186">
        <f ca="1">IF(Tabla33610673[[#This Row],[Equity]]&lt;Tabla33610673[[#This Row],[Equity Peak]],(Tabla33610673[[#This Row],[Equity Peak]]-Tabla33610673[[#This Row],[Equity]])/Tabla33610673[[#This Row],[Equity Peak]],"")</f>
        <v>9.9900999009990103E-3</v>
      </c>
      <c r="V601" s="187">
        <f t="shared" si="178"/>
        <v>2.1800000000000002</v>
      </c>
      <c r="W601" s="187">
        <f t="shared" si="179"/>
        <v>0</v>
      </c>
      <c r="X601" s="187">
        <f t="shared" si="180"/>
        <v>0</v>
      </c>
      <c r="Y601" s="187">
        <f t="shared" si="181"/>
        <v>0</v>
      </c>
      <c r="Z601" s="187">
        <f t="shared" si="182"/>
        <v>0</v>
      </c>
      <c r="AA601" s="183">
        <f t="shared" si="183"/>
        <v>0</v>
      </c>
      <c r="AB601" s="187">
        <f t="shared" si="184"/>
        <v>0</v>
      </c>
      <c r="AC601" s="183">
        <f t="shared" si="185"/>
        <v>0</v>
      </c>
      <c r="AD601" s="188">
        <f t="shared" si="186"/>
        <v>0.12569444444670808</v>
      </c>
      <c r="AE601" s="188">
        <f t="shared" si="187"/>
        <v>0.12569444444670808</v>
      </c>
      <c r="AF601" s="188">
        <f t="shared" si="188"/>
        <v>0</v>
      </c>
      <c r="AG601" s="188">
        <f t="shared" si="189"/>
        <v>0</v>
      </c>
    </row>
    <row r="602" spans="2:33" ht="15" customHeight="1" x14ac:dyDescent="0.15">
      <c r="B602" s="174" t="s">
        <v>5</v>
      </c>
      <c r="C602" s="175" t="s">
        <v>15</v>
      </c>
      <c r="D602" s="176" t="str">
        <f t="shared" si="171"/>
        <v>C</v>
      </c>
      <c r="E602" s="177" t="d">
        <v>2021-03-22T17:15:00.000</v>
      </c>
      <c r="F602" s="178" t="s">
        <v>82</v>
      </c>
      <c r="G602" s="179">
        <v>3931.99</v>
      </c>
      <c r="H602" s="179">
        <v>3912.53</v>
      </c>
      <c r="I602" s="180">
        <f t="shared" si="172"/>
        <v>19.459999999999582</v>
      </c>
      <c r="J602" s="179">
        <v>4058.49</v>
      </c>
      <c r="K602" s="177" t="d">
        <v>2021-03-23T07:54:00.00000029336660775</v>
      </c>
      <c r="L602" s="179">
        <v>3934.84</v>
      </c>
      <c r="M602" s="181">
        <f t="shared" si="173"/>
        <v>2.85</v>
      </c>
      <c r="N602" s="182">
        <f t="shared" si="174"/>
        <v>0.15</v>
      </c>
      <c r="O602" s="183">
        <f t="shared" si="175"/>
        <v>0</v>
      </c>
      <c r="P602" s="184">
        <f t="shared" si="176"/>
        <v>0.15</v>
      </c>
      <c r="Q602" s="184">
        <f t="shared" si="177"/>
        <v>0</v>
      </c>
      <c r="R60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26955</v>
      </c>
      <c r="T60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602" s="186">
        <f ca="1">IF(Tabla33610673[[#This Row],[Equity]]&lt;Tabla33610673[[#This Row],[Equity Peak]],(Tabla33610673[[#This Row],[Equity Peak]]-Tabla33610673[[#This Row],[Equity]])/Tabla33610673[[#This Row],[Equity Peak]],"")</f>
        <v>2.961029610296103E-2</v>
      </c>
      <c r="V602" s="187">
        <f t="shared" si="178"/>
        <v>0</v>
      </c>
      <c r="W602" s="187">
        <f t="shared" si="179"/>
        <v>0</v>
      </c>
      <c r="X602" s="187">
        <f t="shared" si="180"/>
        <v>0</v>
      </c>
      <c r="Y602" s="187">
        <f t="shared" si="181"/>
        <v>0</v>
      </c>
      <c r="Z602" s="187">
        <f t="shared" si="182"/>
        <v>0.15</v>
      </c>
      <c r="AA602" s="183">
        <f t="shared" si="183"/>
        <v>0</v>
      </c>
      <c r="AB602" s="187">
        <f t="shared" si="184"/>
        <v>0</v>
      </c>
      <c r="AC602" s="183">
        <f t="shared" si="185"/>
        <v>0</v>
      </c>
      <c r="AD602" s="188">
        <f t="shared" si="186"/>
        <v>0.61041666667006211</v>
      </c>
      <c r="AE602" s="188">
        <f t="shared" si="187"/>
        <v>0.61041666667006211</v>
      </c>
      <c r="AF602" s="188">
        <f t="shared" si="188"/>
        <v>0</v>
      </c>
      <c r="AG602" s="188">
        <f t="shared" si="189"/>
        <v>0</v>
      </c>
    </row>
    <row r="603" spans="2:33" ht="15" customHeight="1" x14ac:dyDescent="0.15">
      <c r="B603" s="174" t="s">
        <v>5</v>
      </c>
      <c r="C603" s="175" t="s">
        <v>15</v>
      </c>
      <c r="D603" s="176" t="str">
        <f t="shared" si="171"/>
        <v>C</v>
      </c>
      <c r="E603" s="177" t="d">
        <v>2021-03-22T17:00:00.00000020954757600</v>
      </c>
      <c r="F603" s="178" t="s">
        <v>81</v>
      </c>
      <c r="G603" s="179">
        <v>13026.88</v>
      </c>
      <c r="H603" s="179">
        <v>12936.5</v>
      </c>
      <c r="I603" s="180">
        <f t="shared" si="172"/>
        <v>90.3799999999992</v>
      </c>
      <c r="J603" s="179">
        <v>13569.16</v>
      </c>
      <c r="K603" s="177" t="d">
        <v>2021-03-22T22:54:00.00000029336660775</v>
      </c>
      <c r="L603" s="179">
        <v>13085.71</v>
      </c>
      <c r="M603" s="181">
        <f t="shared" si="173"/>
        <v>58.83</v>
      </c>
      <c r="N603" s="182">
        <f t="shared" si="174"/>
        <v>0.65</v>
      </c>
      <c r="O603" s="183">
        <f t="shared" si="175"/>
        <v>0</v>
      </c>
      <c r="P603" s="184">
        <f t="shared" si="176"/>
        <v>0.65</v>
      </c>
      <c r="Q603" s="184">
        <f t="shared" si="177"/>
        <v>0</v>
      </c>
      <c r="R60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26917.5</v>
      </c>
      <c r="T60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603" s="186">
        <f ca="1">IF(Tabla33610673[[#This Row],[Equity]]&lt;Tabla33610673[[#This Row],[Equity Peak]],(Tabla33610673[[#This Row],[Equity Peak]]-Tabla33610673[[#This Row],[Equity]])/Tabla33610673[[#This Row],[Equity Peak]],"")</f>
        <v>3.096030960309603E-2</v>
      </c>
      <c r="V603" s="187">
        <f t="shared" si="178"/>
        <v>0</v>
      </c>
      <c r="W603" s="187">
        <f t="shared" si="179"/>
        <v>0</v>
      </c>
      <c r="X603" s="187">
        <f t="shared" si="180"/>
        <v>0</v>
      </c>
      <c r="Y603" s="187">
        <f t="shared" si="181"/>
        <v>0</v>
      </c>
      <c r="Z603" s="187">
        <f t="shared" si="182"/>
        <v>0.65</v>
      </c>
      <c r="AA603" s="183">
        <f t="shared" si="183"/>
        <v>0</v>
      </c>
      <c r="AB603" s="187">
        <f t="shared" si="184"/>
        <v>0</v>
      </c>
      <c r="AC603" s="183">
        <f t="shared" si="185"/>
        <v>0</v>
      </c>
      <c r="AD603" s="188">
        <f t="shared" si="186"/>
        <v>0.24583333333430346</v>
      </c>
      <c r="AE603" s="188">
        <f t="shared" si="187"/>
        <v>0.24583333333430346</v>
      </c>
      <c r="AF603" s="188">
        <f t="shared" si="188"/>
        <v>0</v>
      </c>
      <c r="AG603" s="188">
        <f t="shared" si="189"/>
        <v>0</v>
      </c>
    </row>
    <row r="604" spans="2:33" ht="15" customHeight="1" x14ac:dyDescent="0.15">
      <c r="B604" s="174" t="s">
        <v>19</v>
      </c>
      <c r="C604" s="175" t="s">
        <v>15</v>
      </c>
      <c r="D604" s="176" t="str">
        <f t="shared" si="171"/>
        <v>C</v>
      </c>
      <c r="E604" s="177" t="d">
        <v>2021-03-19T09:14:59.99999979045242400</v>
      </c>
      <c r="F604" s="178" t="s">
        <v>77</v>
      </c>
      <c r="G604" s="179">
        <v>1738.26</v>
      </c>
      <c r="H604" s="179">
        <v>1732.29</v>
      </c>
      <c r="I604" s="180">
        <f t="shared" si="172"/>
        <v>5.9700000000000273</v>
      </c>
      <c r="J604" s="179">
        <v>1766.9</v>
      </c>
      <c r="K604" s="177" t="d">
        <v>2021-03-22T04:21:59.99999969266355025</v>
      </c>
      <c r="L604" s="179">
        <v>1733.88</v>
      </c>
      <c r="M604" s="181">
        <f t="shared" si="173"/>
        <v>-4.38</v>
      </c>
      <c r="N604" s="182">
        <f t="shared" si="174"/>
        <v>-0.73</v>
      </c>
      <c r="O604" s="183">
        <f t="shared" si="175"/>
        <v>0</v>
      </c>
      <c r="P604" s="184">
        <f t="shared" si="176"/>
        <v>0</v>
      </c>
      <c r="Q604" s="184">
        <f t="shared" si="177"/>
        <v>-0.73</v>
      </c>
      <c r="R60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26755</v>
      </c>
      <c r="T60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604" s="186">
        <f ca="1">IF(Tabla33610673[[#This Row],[Equity]]&lt;Tabla33610673[[#This Row],[Equity Peak]],(Tabla33610673[[#This Row],[Equity Peak]]-Tabla33610673[[#This Row],[Equity]])/Tabla33610673[[#This Row],[Equity Peak]],"")</f>
        <v>3.6810368103681039E-2</v>
      </c>
      <c r="V604" s="187">
        <f t="shared" si="178"/>
        <v>0</v>
      </c>
      <c r="W604" s="187">
        <f t="shared" si="179"/>
        <v>0</v>
      </c>
      <c r="X604" s="187">
        <f t="shared" si="180"/>
        <v>-0.73</v>
      </c>
      <c r="Y604" s="187">
        <f t="shared" si="181"/>
        <v>0</v>
      </c>
      <c r="Z604" s="187">
        <f t="shared" si="182"/>
        <v>0</v>
      </c>
      <c r="AA604" s="183">
        <f t="shared" si="183"/>
        <v>0</v>
      </c>
      <c r="AB604" s="187">
        <f t="shared" si="184"/>
        <v>0</v>
      </c>
      <c r="AC604" s="183">
        <f t="shared" si="185"/>
        <v>0</v>
      </c>
      <c r="AD604" s="188">
        <f t="shared" si="186"/>
        <v>2.796527777776646</v>
      </c>
      <c r="AE604" s="188">
        <f t="shared" si="187"/>
        <v>0</v>
      </c>
      <c r="AF604" s="188">
        <f t="shared" si="188"/>
        <v>2.796527777776646</v>
      </c>
      <c r="AG604" s="188">
        <f t="shared" si="189"/>
        <v>0</v>
      </c>
    </row>
    <row r="605" spans="2:33" ht="15" customHeight="1" x14ac:dyDescent="0.15">
      <c r="B605" s="174" t="s">
        <v>7</v>
      </c>
      <c r="C605" s="175" t="s">
        <v>13</v>
      </c>
      <c r="D605" s="176" t="str">
        <f t="shared" si="171"/>
        <v>C</v>
      </c>
      <c r="E605" s="177" t="d">
        <v>2021-03-22T00:24:59.99999986030161375</v>
      </c>
      <c r="F605" s="178" t="s">
        <v>102</v>
      </c>
      <c r="G605" s="179">
        <v>150.33699999999999</v>
      </c>
      <c r="H605" s="179">
        <v>150.69900000000001</v>
      </c>
      <c r="I605" s="180">
        <f t="shared" si="172"/>
        <v>0.36200000000002319</v>
      </c>
      <c r="J605" s="179">
        <v>148.40700000000001</v>
      </c>
      <c r="K605" s="177" t="d">
        <v>2021-03-22T01:08:00.000000097788870375</v>
      </c>
      <c r="L605" s="179">
        <v>150.69900000000001</v>
      </c>
      <c r="M605" s="181">
        <f t="shared" si="173"/>
        <v>-0.36199999999999999</v>
      </c>
      <c r="N605" s="182">
        <f t="shared" si="174"/>
        <v>-1</v>
      </c>
      <c r="O605" s="183">
        <f t="shared" si="175"/>
        <v>0</v>
      </c>
      <c r="P605" s="184">
        <f t="shared" si="176"/>
        <v>0</v>
      </c>
      <c r="Q605" s="184">
        <f t="shared" si="177"/>
        <v>-1</v>
      </c>
      <c r="R60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26937.5</v>
      </c>
      <c r="T60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605" s="186">
        <f ca="1">IF(Tabla33610673[[#This Row],[Equity]]&lt;Tabla33610673[[#This Row],[Equity Peak]],(Tabla33610673[[#This Row],[Equity Peak]]-Tabla33610673[[#This Row],[Equity]])/Tabla33610673[[#This Row],[Equity Peak]],"")</f>
        <v>3.0240302403024031E-2</v>
      </c>
      <c r="V605" s="187">
        <f t="shared" si="178"/>
        <v>-1</v>
      </c>
      <c r="W605" s="187">
        <f t="shared" si="179"/>
        <v>0</v>
      </c>
      <c r="X605" s="187">
        <f t="shared" si="180"/>
        <v>0</v>
      </c>
      <c r="Y605" s="187">
        <f t="shared" si="181"/>
        <v>0</v>
      </c>
      <c r="Z605" s="187">
        <f t="shared" si="182"/>
        <v>0</v>
      </c>
      <c r="AA605" s="183">
        <f t="shared" si="183"/>
        <v>0</v>
      </c>
      <c r="AB605" s="187">
        <f t="shared" si="184"/>
        <v>0</v>
      </c>
      <c r="AC605" s="183">
        <f t="shared" si="185"/>
        <v>0</v>
      </c>
      <c r="AD605" s="188">
        <f t="shared" si="186"/>
        <v>2.9861111113859806E-2</v>
      </c>
      <c r="AE605" s="188">
        <f t="shared" si="187"/>
        <v>0</v>
      </c>
      <c r="AF605" s="188">
        <f t="shared" si="188"/>
        <v>2.9861111113859806E-2</v>
      </c>
      <c r="AG605" s="188">
        <f t="shared" si="189"/>
        <v>0</v>
      </c>
    </row>
    <row r="606" spans="2:33" ht="15" customHeight="1" x14ac:dyDescent="0.15">
      <c r="B606" s="174" t="s">
        <v>7</v>
      </c>
      <c r="C606" s="175" t="s">
        <v>13</v>
      </c>
      <c r="D606" s="176" t="str">
        <f t="shared" si="171"/>
        <v>C</v>
      </c>
      <c r="E606" s="177" t="d">
        <v>2021-03-19T16:44:59.99999979045242400</v>
      </c>
      <c r="F606" s="178" t="s">
        <v>102</v>
      </c>
      <c r="G606" s="179">
        <v>150.89500000000001</v>
      </c>
      <c r="H606" s="179">
        <v>151.27000000000001</v>
      </c>
      <c r="I606" s="180">
        <f t="shared" si="172"/>
        <v>0.375</v>
      </c>
      <c r="J606" s="179">
        <v>148.89599999999999</v>
      </c>
      <c r="K606" s="177" t="d">
        <v>2021-03-19T21:08:59.99999987427145575</v>
      </c>
      <c r="L606" s="179">
        <v>151.185</v>
      </c>
      <c r="M606" s="181">
        <f t="shared" si="173"/>
        <v>-0.28999999999999998</v>
      </c>
      <c r="N606" s="182">
        <f t="shared" si="174"/>
        <v>-0.77</v>
      </c>
      <c r="O606" s="183">
        <f t="shared" si="175"/>
        <v>0</v>
      </c>
      <c r="P606" s="184">
        <f t="shared" si="176"/>
        <v>0</v>
      </c>
      <c r="Q606" s="184">
        <f t="shared" si="177"/>
        <v>-0.77</v>
      </c>
      <c r="R60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27187.5</v>
      </c>
      <c r="T60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606" s="186">
        <f ca="1">IF(Tabla33610673[[#This Row],[Equity]]&lt;Tabla33610673[[#This Row],[Equity Peak]],(Tabla33610673[[#This Row],[Equity Peak]]-Tabla33610673[[#This Row],[Equity]])/Tabla33610673[[#This Row],[Equity Peak]],"")</f>
        <v>2.1240212402124023E-2</v>
      </c>
      <c r="V606" s="187">
        <f t="shared" si="178"/>
        <v>-0.77</v>
      </c>
      <c r="W606" s="187">
        <f t="shared" si="179"/>
        <v>0</v>
      </c>
      <c r="X606" s="187">
        <f t="shared" si="180"/>
        <v>0</v>
      </c>
      <c r="Y606" s="187">
        <f t="shared" si="181"/>
        <v>0</v>
      </c>
      <c r="Z606" s="187">
        <f t="shared" si="182"/>
        <v>0</v>
      </c>
      <c r="AA606" s="183">
        <f t="shared" si="183"/>
        <v>0</v>
      </c>
      <c r="AB606" s="187">
        <f t="shared" si="184"/>
        <v>0</v>
      </c>
      <c r="AC606" s="183">
        <f t="shared" si="185"/>
        <v>0</v>
      </c>
      <c r="AD606" s="188">
        <f t="shared" si="186"/>
        <v>0.18333333333430346</v>
      </c>
      <c r="AE606" s="188">
        <f t="shared" si="187"/>
        <v>0</v>
      </c>
      <c r="AF606" s="188">
        <f t="shared" si="188"/>
        <v>0.18333333333430346</v>
      </c>
      <c r="AG606" s="188">
        <f t="shared" si="189"/>
        <v>0</v>
      </c>
    </row>
    <row r="607" spans="2:33" ht="15" customHeight="1" x14ac:dyDescent="0.15">
      <c r="B607" s="174" t="s">
        <v>5</v>
      </c>
      <c r="C607" s="175" t="s">
        <v>13</v>
      </c>
      <c r="D607" s="176" t="str">
        <f t="shared" si="171"/>
        <v>C</v>
      </c>
      <c r="E607" s="177" t="d">
        <v>2021-03-18T21:45:00.000</v>
      </c>
      <c r="F607" s="178" t="s">
        <v>82</v>
      </c>
      <c r="G607" s="179">
        <v>3931.06</v>
      </c>
      <c r="H607" s="179">
        <v>3949.41</v>
      </c>
      <c r="I607" s="180">
        <f t="shared" si="172"/>
        <v>18.349999999999909</v>
      </c>
      <c r="J607" s="179">
        <v>3811.75</v>
      </c>
      <c r="K607" s="177" t="d">
        <v>2021-03-19T10:45:59.99999998603016475</v>
      </c>
      <c r="L607" s="179">
        <v>3930.63</v>
      </c>
      <c r="M607" s="181">
        <f t="shared" si="173"/>
        <v>0.43</v>
      </c>
      <c r="N607" s="182">
        <f t="shared" si="174"/>
        <v>0.02</v>
      </c>
      <c r="O607" s="183">
        <f t="shared" si="175"/>
        <v>0</v>
      </c>
      <c r="P607" s="184">
        <f t="shared" si="176"/>
        <v>0.02</v>
      </c>
      <c r="Q607" s="184">
        <f t="shared" si="177"/>
        <v>0</v>
      </c>
      <c r="R60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27380</v>
      </c>
      <c r="T60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607" s="186">
        <f ca="1">IF(Tabla33610673[[#This Row],[Equity]]&lt;Tabla33610673[[#This Row],[Equity Peak]],(Tabla33610673[[#This Row],[Equity Peak]]-Tabla33610673[[#This Row],[Equity]])/Tabla33610673[[#This Row],[Equity Peak]],"")</f>
        <v>1.4310143101431014E-2</v>
      </c>
      <c r="V607" s="187">
        <f t="shared" si="178"/>
        <v>0</v>
      </c>
      <c r="W607" s="187">
        <f t="shared" si="179"/>
        <v>0</v>
      </c>
      <c r="X607" s="187">
        <f t="shared" si="180"/>
        <v>0</v>
      </c>
      <c r="Y607" s="187">
        <f t="shared" si="181"/>
        <v>0</v>
      </c>
      <c r="Z607" s="187">
        <f t="shared" si="182"/>
        <v>0.02</v>
      </c>
      <c r="AA607" s="183">
        <f t="shared" si="183"/>
        <v>0</v>
      </c>
      <c r="AB607" s="187">
        <f t="shared" si="184"/>
        <v>0</v>
      </c>
      <c r="AC607" s="183">
        <f t="shared" si="185"/>
        <v>0</v>
      </c>
      <c r="AD607" s="188">
        <f t="shared" si="186"/>
        <v>0.54236111111094942</v>
      </c>
      <c r="AE607" s="188">
        <f t="shared" si="187"/>
        <v>0.54236111111094942</v>
      </c>
      <c r="AF607" s="188">
        <f t="shared" si="188"/>
        <v>0</v>
      </c>
      <c r="AG607" s="188">
        <f t="shared" si="189"/>
        <v>0</v>
      </c>
    </row>
    <row r="608" spans="2:33" ht="15" customHeight="1" x14ac:dyDescent="0.15">
      <c r="B608" s="174" t="s">
        <v>5</v>
      </c>
      <c r="C608" s="175" t="s">
        <v>13</v>
      </c>
      <c r="D608" s="176" t="str">
        <f t="shared" si="171"/>
        <v>C</v>
      </c>
      <c r="E608" s="177" t="d">
        <v>2021-03-18T20:00:00.00000020954757600</v>
      </c>
      <c r="F608" s="178" t="s">
        <v>81</v>
      </c>
      <c r="G608" s="179">
        <v>12919.33</v>
      </c>
      <c r="H608" s="179">
        <v>13006.71</v>
      </c>
      <c r="I608" s="180">
        <f t="shared" si="172"/>
        <v>87.3799999999992</v>
      </c>
      <c r="J608" s="179">
        <v>12395.08</v>
      </c>
      <c r="K608" s="177" t="d">
        <v>2021-03-19T09:53:59.99999987427145575</v>
      </c>
      <c r="L608" s="179">
        <v>12828.67</v>
      </c>
      <c r="M608" s="181">
        <f t="shared" si="173"/>
        <v>90.66</v>
      </c>
      <c r="N608" s="182">
        <f t="shared" si="174"/>
        <v>1.04</v>
      </c>
      <c r="O608" s="183">
        <f t="shared" si="175"/>
        <v>0</v>
      </c>
      <c r="P608" s="184">
        <f t="shared" si="176"/>
        <v>1.04</v>
      </c>
      <c r="Q608" s="184">
        <f t="shared" si="177"/>
        <v>0</v>
      </c>
      <c r="R60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27375</v>
      </c>
      <c r="T60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608" s="186">
        <f ca="1">IF(Tabla33610673[[#This Row],[Equity]]&lt;Tabla33610673[[#This Row],[Equity Peak]],(Tabla33610673[[#This Row],[Equity Peak]]-Tabla33610673[[#This Row],[Equity]])/Tabla33610673[[#This Row],[Equity Peak]],"")</f>
        <v>1.4490144901449014E-2</v>
      </c>
      <c r="V608" s="187">
        <f t="shared" si="178"/>
        <v>0</v>
      </c>
      <c r="W608" s="187">
        <f t="shared" si="179"/>
        <v>0</v>
      </c>
      <c r="X608" s="187">
        <f t="shared" si="180"/>
        <v>0</v>
      </c>
      <c r="Y608" s="187">
        <f t="shared" si="181"/>
        <v>0</v>
      </c>
      <c r="Z608" s="187">
        <f t="shared" si="182"/>
        <v>1.04</v>
      </c>
      <c r="AA608" s="183">
        <f t="shared" si="183"/>
        <v>0</v>
      </c>
      <c r="AB608" s="187">
        <f t="shared" si="184"/>
        <v>0</v>
      </c>
      <c r="AC608" s="183">
        <f t="shared" si="185"/>
        <v>0</v>
      </c>
      <c r="AD608" s="188">
        <f t="shared" si="186"/>
        <v>0.57916666666278616</v>
      </c>
      <c r="AE608" s="188">
        <f t="shared" si="187"/>
        <v>0.57916666666278616</v>
      </c>
      <c r="AF608" s="188">
        <f t="shared" si="188"/>
        <v>0</v>
      </c>
      <c r="AG608" s="188">
        <f t="shared" si="189"/>
        <v>0</v>
      </c>
    </row>
    <row r="609" spans="2:33" ht="15" customHeight="1" x14ac:dyDescent="0.15">
      <c r="B609" s="174" t="s">
        <v>7</v>
      </c>
      <c r="C609" s="175" t="s">
        <v>15</v>
      </c>
      <c r="D609" s="176" t="str">
        <f t="shared" si="171"/>
        <v>C</v>
      </c>
      <c r="E609" s="177" t="d">
        <v>2021-03-18T10:15:00.00000020954757600</v>
      </c>
      <c r="F609" s="178" t="s">
        <v>102</v>
      </c>
      <c r="G609" s="179">
        <v>152.363</v>
      </c>
      <c r="H609" s="179">
        <v>152.059</v>
      </c>
      <c r="I609" s="180">
        <f t="shared" si="172"/>
        <v>0.30400000000000205</v>
      </c>
      <c r="J609" s="179">
        <v>153.98400000000001</v>
      </c>
      <c r="K609" s="177" t="d">
        <v>2021-03-18T15:08:59.99999987427145575</v>
      </c>
      <c r="L609" s="179">
        <v>152.1</v>
      </c>
      <c r="M609" s="181">
        <f t="shared" si="173"/>
        <v>-0.26300000000000001</v>
      </c>
      <c r="N609" s="182">
        <f t="shared" si="174"/>
        <v>-0.87</v>
      </c>
      <c r="O609" s="183">
        <f t="shared" si="175"/>
        <v>0</v>
      </c>
      <c r="P609" s="184">
        <f t="shared" si="176"/>
        <v>0</v>
      </c>
      <c r="Q609" s="184">
        <f t="shared" si="177"/>
        <v>-0.87</v>
      </c>
      <c r="R60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27115</v>
      </c>
      <c r="T60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609" s="186">
        <f ca="1">IF(Tabla33610673[[#This Row],[Equity]]&lt;Tabla33610673[[#This Row],[Equity Peak]],(Tabla33610673[[#This Row],[Equity Peak]]-Tabla33610673[[#This Row],[Equity]])/Tabla33610673[[#This Row],[Equity Peak]],"")</f>
        <v>2.3850238502385025E-2</v>
      </c>
      <c r="V609" s="187">
        <f t="shared" si="178"/>
        <v>-0.87</v>
      </c>
      <c r="W609" s="187">
        <f t="shared" si="179"/>
        <v>0</v>
      </c>
      <c r="X609" s="187">
        <f t="shared" si="180"/>
        <v>0</v>
      </c>
      <c r="Y609" s="187">
        <f t="shared" si="181"/>
        <v>0</v>
      </c>
      <c r="Z609" s="187">
        <f t="shared" si="182"/>
        <v>0</v>
      </c>
      <c r="AA609" s="183">
        <f t="shared" si="183"/>
        <v>0</v>
      </c>
      <c r="AB609" s="187">
        <f t="shared" si="184"/>
        <v>0</v>
      </c>
      <c r="AC609" s="183">
        <f t="shared" si="185"/>
        <v>0</v>
      </c>
      <c r="AD609" s="188">
        <f t="shared" si="186"/>
        <v>0.20416666666278616</v>
      </c>
      <c r="AE609" s="188">
        <f t="shared" si="187"/>
        <v>0</v>
      </c>
      <c r="AF609" s="188">
        <f t="shared" si="188"/>
        <v>0.20416666666278616</v>
      </c>
      <c r="AG609" s="188">
        <f t="shared" si="189"/>
        <v>0</v>
      </c>
    </row>
    <row r="610" spans="2:33" ht="15" customHeight="1" x14ac:dyDescent="0.15">
      <c r="B610" s="174" t="s">
        <v>5</v>
      </c>
      <c r="C610" s="175" t="s">
        <v>15</v>
      </c>
      <c r="D610" s="176" t="str">
        <f t="shared" si="171"/>
        <v>C</v>
      </c>
      <c r="E610" s="177" t="d">
        <v>2021-03-17T20:29:59.99999979045242400</v>
      </c>
      <c r="F610" s="178" t="s">
        <v>80</v>
      </c>
      <c r="G610" s="179">
        <v>14622.44</v>
      </c>
      <c r="H610" s="179">
        <v>14583.91</v>
      </c>
      <c r="I610" s="180">
        <f t="shared" si="172"/>
        <v>38.530000000000655</v>
      </c>
      <c r="J610" s="179">
        <v>14904.96</v>
      </c>
      <c r="K610" s="177" t="d">
        <v>2021-03-18T10:54:00.00000029336660775</v>
      </c>
      <c r="L610" s="179">
        <v>14668.67</v>
      </c>
      <c r="M610" s="181">
        <f t="shared" si="173"/>
        <v>46.23</v>
      </c>
      <c r="N610" s="182">
        <f t="shared" si="174"/>
        <v>1.2</v>
      </c>
      <c r="O610" s="183">
        <f t="shared" si="175"/>
        <v>0</v>
      </c>
      <c r="P610" s="184">
        <f t="shared" si="176"/>
        <v>1.2</v>
      </c>
      <c r="Q610" s="184">
        <f t="shared" si="177"/>
        <v>0</v>
      </c>
      <c r="R61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27332.5</v>
      </c>
      <c r="T61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610" s="186">
        <f ca="1">IF(Tabla33610673[[#This Row],[Equity]]&lt;Tabla33610673[[#This Row],[Equity Peak]],(Tabla33610673[[#This Row],[Equity Peak]]-Tabla33610673[[#This Row],[Equity]])/Tabla33610673[[#This Row],[Equity Peak]],"")</f>
        <v>1.6020160201602015E-2</v>
      </c>
      <c r="V610" s="187">
        <f t="shared" si="178"/>
        <v>0</v>
      </c>
      <c r="W610" s="187">
        <f t="shared" si="179"/>
        <v>0</v>
      </c>
      <c r="X610" s="187">
        <f t="shared" si="180"/>
        <v>0</v>
      </c>
      <c r="Y610" s="187">
        <f t="shared" si="181"/>
        <v>0</v>
      </c>
      <c r="Z610" s="187">
        <f t="shared" si="182"/>
        <v>1.2</v>
      </c>
      <c r="AA610" s="183">
        <f t="shared" si="183"/>
        <v>0</v>
      </c>
      <c r="AB610" s="187">
        <f t="shared" si="184"/>
        <v>0</v>
      </c>
      <c r="AC610" s="183">
        <f t="shared" si="185"/>
        <v>0</v>
      </c>
      <c r="AD610" s="188">
        <f t="shared" si="186"/>
        <v>0.60000000000582077</v>
      </c>
      <c r="AE610" s="188">
        <f t="shared" si="187"/>
        <v>0.60000000000582077</v>
      </c>
      <c r="AF610" s="188">
        <f t="shared" si="188"/>
        <v>0</v>
      </c>
      <c r="AG610" s="188">
        <f t="shared" si="189"/>
        <v>0</v>
      </c>
    </row>
    <row r="611" spans="2:33" ht="15" customHeight="1" x14ac:dyDescent="0.15">
      <c r="B611" s="174" t="s">
        <v>19</v>
      </c>
      <c r="C611" s="175" t="s">
        <v>15</v>
      </c>
      <c r="D611" s="176" t="str">
        <f t="shared" si="171"/>
        <v>C</v>
      </c>
      <c r="E611" s="177" t="d">
        <v>2021-03-17T21:14:59.99999979045242400</v>
      </c>
      <c r="F611" s="178" t="s">
        <v>77</v>
      </c>
      <c r="G611" s="179">
        <v>1743.04</v>
      </c>
      <c r="H611" s="179">
        <v>1737.12</v>
      </c>
      <c r="I611" s="180">
        <f t="shared" si="172"/>
        <v>5.9200000000000728</v>
      </c>
      <c r="J611" s="179">
        <v>1771.45</v>
      </c>
      <c r="K611" s="177" t="d">
        <v>2021-03-18T10:24:00.00000008381903175</v>
      </c>
      <c r="L611" s="179">
        <v>1742.97</v>
      </c>
      <c r="M611" s="181">
        <f t="shared" si="173"/>
        <v>-7.0000000000000007E-2</v>
      </c>
      <c r="N611" s="182">
        <f t="shared" si="174"/>
        <v>-0.01</v>
      </c>
      <c r="O611" s="183">
        <f t="shared" si="175"/>
        <v>0</v>
      </c>
      <c r="P611" s="184">
        <f t="shared" si="176"/>
        <v>0</v>
      </c>
      <c r="Q611" s="184">
        <f t="shared" si="177"/>
        <v>-0.01</v>
      </c>
      <c r="R61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27032.5</v>
      </c>
      <c r="T61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611" s="186">
        <f ca="1">IF(Tabla33610673[[#This Row],[Equity]]&lt;Tabla33610673[[#This Row],[Equity Peak]],(Tabla33610673[[#This Row],[Equity Peak]]-Tabla33610673[[#This Row],[Equity]])/Tabla33610673[[#This Row],[Equity Peak]],"")</f>
        <v>2.6820268202682025E-2</v>
      </c>
      <c r="V611" s="187">
        <f t="shared" si="178"/>
        <v>0</v>
      </c>
      <c r="W611" s="187">
        <f t="shared" si="179"/>
        <v>0</v>
      </c>
      <c r="X611" s="187">
        <f t="shared" si="180"/>
        <v>-0.01</v>
      </c>
      <c r="Y611" s="187">
        <f t="shared" si="181"/>
        <v>0</v>
      </c>
      <c r="Z611" s="187">
        <f t="shared" si="182"/>
        <v>0</v>
      </c>
      <c r="AA611" s="183">
        <f t="shared" si="183"/>
        <v>0</v>
      </c>
      <c r="AB611" s="187">
        <f t="shared" si="184"/>
        <v>0</v>
      </c>
      <c r="AC611" s="183">
        <f t="shared" si="185"/>
        <v>0</v>
      </c>
      <c r="AD611" s="188">
        <f t="shared" si="186"/>
        <v>0.54791666667006211</v>
      </c>
      <c r="AE611" s="188">
        <f t="shared" si="187"/>
        <v>0</v>
      </c>
      <c r="AF611" s="188">
        <f t="shared" si="188"/>
        <v>0.54791666667006211</v>
      </c>
      <c r="AG611" s="188">
        <f t="shared" si="189"/>
        <v>0</v>
      </c>
    </row>
    <row r="612" spans="2:33" ht="15" customHeight="1" x14ac:dyDescent="0.15">
      <c r="B612" s="174" t="s">
        <v>5</v>
      </c>
      <c r="C612" s="175" t="s">
        <v>15</v>
      </c>
      <c r="D612" s="176" t="str">
        <f t="shared" si="171"/>
        <v>C</v>
      </c>
      <c r="E612" s="177" t="d">
        <v>2021-03-17T21:45:00.000</v>
      </c>
      <c r="F612" s="178" t="s">
        <v>82</v>
      </c>
      <c r="G612" s="179">
        <v>3982.26</v>
      </c>
      <c r="H612" s="179">
        <v>3964.92</v>
      </c>
      <c r="I612" s="180">
        <f t="shared" si="172"/>
        <v>17.340000000000146</v>
      </c>
      <c r="J612" s="179">
        <v>4095</v>
      </c>
      <c r="K612" s="177" t="d">
        <v>2021-03-18T10:21:59.99999969266355025</v>
      </c>
      <c r="L612" s="179">
        <v>3972.52</v>
      </c>
      <c r="M612" s="181">
        <f t="shared" si="173"/>
        <v>-9.74</v>
      </c>
      <c r="N612" s="182">
        <f t="shared" si="174"/>
        <v>-0.56000000000000005</v>
      </c>
      <c r="O612" s="183">
        <f t="shared" si="175"/>
        <v>0</v>
      </c>
      <c r="P612" s="184">
        <f t="shared" si="176"/>
        <v>0</v>
      </c>
      <c r="Q612" s="184">
        <f t="shared" si="177"/>
        <v>-0.56000000000000005</v>
      </c>
      <c r="R61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27035</v>
      </c>
      <c r="T61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612" s="186">
        <f ca="1">IF(Tabla33610673[[#This Row],[Equity]]&lt;Tabla33610673[[#This Row],[Equity Peak]],(Tabla33610673[[#This Row],[Equity Peak]]-Tabla33610673[[#This Row],[Equity]])/Tabla33610673[[#This Row],[Equity Peak]],"")</f>
        <v>2.6730267302673028E-2</v>
      </c>
      <c r="V612" s="187">
        <f t="shared" si="178"/>
        <v>0</v>
      </c>
      <c r="W612" s="187">
        <f t="shared" si="179"/>
        <v>0</v>
      </c>
      <c r="X612" s="187">
        <f t="shared" si="180"/>
        <v>0</v>
      </c>
      <c r="Y612" s="187">
        <f t="shared" si="181"/>
        <v>0</v>
      </c>
      <c r="Z612" s="187">
        <f t="shared" si="182"/>
        <v>-0.56000000000000005</v>
      </c>
      <c r="AA612" s="183">
        <f t="shared" si="183"/>
        <v>0</v>
      </c>
      <c r="AB612" s="187">
        <f t="shared" si="184"/>
        <v>0</v>
      </c>
      <c r="AC612" s="183">
        <f t="shared" si="185"/>
        <v>0</v>
      </c>
      <c r="AD612" s="188">
        <f t="shared" si="186"/>
        <v>0.52569444444088731</v>
      </c>
      <c r="AE612" s="188">
        <f t="shared" si="187"/>
        <v>0</v>
      </c>
      <c r="AF612" s="188">
        <f t="shared" si="188"/>
        <v>0.52569444444088731</v>
      </c>
      <c r="AG612" s="188">
        <f t="shared" si="189"/>
        <v>0</v>
      </c>
    </row>
    <row r="613" spans="2:33" ht="15" customHeight="1" x14ac:dyDescent="0.15">
      <c r="B613" s="174" t="s">
        <v>7</v>
      </c>
      <c r="C613" s="175" t="s">
        <v>15</v>
      </c>
      <c r="D613" s="176" t="str">
        <f t="shared" si="171"/>
        <v>C</v>
      </c>
      <c r="E613" s="177" t="d">
        <v>2021-03-18T02:45:00.00000020954757600</v>
      </c>
      <c r="F613" s="178" t="s">
        <v>102</v>
      </c>
      <c r="G613" s="179">
        <v>152.13900000000001</v>
      </c>
      <c r="H613" s="179">
        <v>151.86799999999999</v>
      </c>
      <c r="I613" s="180">
        <f t="shared" si="172"/>
        <v>0.27100000000001501</v>
      </c>
      <c r="J613" s="179">
        <v>153.583</v>
      </c>
      <c r="K613" s="177" t="d">
        <v>2021-03-18T06:07:00.00000011175870900</v>
      </c>
      <c r="L613" s="179">
        <v>151.86799999999999</v>
      </c>
      <c r="M613" s="181">
        <f t="shared" si="173"/>
        <v>-0.27100000000000002</v>
      </c>
      <c r="N613" s="182">
        <f t="shared" si="174"/>
        <v>-1</v>
      </c>
      <c r="O613" s="183">
        <f t="shared" si="175"/>
        <v>0</v>
      </c>
      <c r="P613" s="184">
        <f t="shared" si="176"/>
        <v>0</v>
      </c>
      <c r="Q613" s="184">
        <f t="shared" si="177"/>
        <v>-1</v>
      </c>
      <c r="R61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27175</v>
      </c>
      <c r="T61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613" s="186">
        <f ca="1">IF(Tabla33610673[[#This Row],[Equity]]&lt;Tabla33610673[[#This Row],[Equity Peak]],(Tabla33610673[[#This Row],[Equity Peak]]-Tabla33610673[[#This Row],[Equity]])/Tabla33610673[[#This Row],[Equity Peak]],"")</f>
        <v>2.1690216902169022E-2</v>
      </c>
      <c r="V613" s="187">
        <f t="shared" si="178"/>
        <v>-1</v>
      </c>
      <c r="W613" s="187">
        <f t="shared" si="179"/>
        <v>0</v>
      </c>
      <c r="X613" s="187">
        <f t="shared" si="180"/>
        <v>0</v>
      </c>
      <c r="Y613" s="187">
        <f t="shared" si="181"/>
        <v>0</v>
      </c>
      <c r="Z613" s="187">
        <f t="shared" si="182"/>
        <v>0</v>
      </c>
      <c r="AA613" s="183">
        <f t="shared" si="183"/>
        <v>0</v>
      </c>
      <c r="AB613" s="187">
        <f t="shared" si="184"/>
        <v>0</v>
      </c>
      <c r="AC613" s="183">
        <f t="shared" si="185"/>
        <v>0</v>
      </c>
      <c r="AD613" s="188">
        <f t="shared" si="186"/>
        <v>0.14027777777664596</v>
      </c>
      <c r="AE613" s="188">
        <f t="shared" si="187"/>
        <v>0</v>
      </c>
      <c r="AF613" s="188">
        <f t="shared" si="188"/>
        <v>0.14027777777664596</v>
      </c>
      <c r="AG613" s="188">
        <f t="shared" si="189"/>
        <v>0</v>
      </c>
    </row>
    <row r="614" spans="2:33" ht="15" customHeight="1" x14ac:dyDescent="0.15">
      <c r="B614" s="174" t="s">
        <v>5</v>
      </c>
      <c r="C614" s="175" t="s">
        <v>15</v>
      </c>
      <c r="D614" s="176" t="str">
        <f t="shared" si="171"/>
        <v>C</v>
      </c>
      <c r="E614" s="177" t="d">
        <v>2021-03-17T21:14:59.99999979045242400</v>
      </c>
      <c r="F614" s="178" t="s">
        <v>82</v>
      </c>
      <c r="G614" s="179">
        <v>3973.04</v>
      </c>
      <c r="H614" s="179">
        <v>3956.06</v>
      </c>
      <c r="I614" s="180">
        <f t="shared" si="172"/>
        <v>16.980000000000018</v>
      </c>
      <c r="J614" s="179">
        <v>4083.4</v>
      </c>
      <c r="K614" s="177" t="d">
        <v>2021-03-17T21:33:00.00000016763806350</v>
      </c>
      <c r="L614" s="179">
        <v>3956.06</v>
      </c>
      <c r="M614" s="181">
        <f t="shared" si="173"/>
        <v>-16.98</v>
      </c>
      <c r="N614" s="182">
        <f t="shared" si="174"/>
        <v>-1</v>
      </c>
      <c r="O614" s="183">
        <f t="shared" si="175"/>
        <v>0</v>
      </c>
      <c r="P614" s="184">
        <f t="shared" si="176"/>
        <v>0</v>
      </c>
      <c r="Q614" s="184">
        <f t="shared" si="177"/>
        <v>-1</v>
      </c>
      <c r="R61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27425</v>
      </c>
      <c r="T61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614" s="186">
        <f ca="1">IF(Tabla33610673[[#This Row],[Equity]]&lt;Tabla33610673[[#This Row],[Equity Peak]],(Tabla33610673[[#This Row],[Equity Peak]]-Tabla33610673[[#This Row],[Equity]])/Tabla33610673[[#This Row],[Equity Peak]],"")</f>
        <v>1.2690126901269012E-2</v>
      </c>
      <c r="V614" s="187">
        <f t="shared" si="178"/>
        <v>0</v>
      </c>
      <c r="W614" s="187">
        <f t="shared" si="179"/>
        <v>0</v>
      </c>
      <c r="X614" s="187">
        <f t="shared" si="180"/>
        <v>0</v>
      </c>
      <c r="Y614" s="187">
        <f t="shared" si="181"/>
        <v>0</v>
      </c>
      <c r="Z614" s="187">
        <f t="shared" si="182"/>
        <v>-1</v>
      </c>
      <c r="AA614" s="183">
        <f t="shared" si="183"/>
        <v>0</v>
      </c>
      <c r="AB614" s="187">
        <f t="shared" si="184"/>
        <v>0</v>
      </c>
      <c r="AC614" s="183">
        <f t="shared" si="185"/>
        <v>0</v>
      </c>
      <c r="AD614" s="188">
        <f t="shared" si="186"/>
        <v>1.2500000004365575E-2</v>
      </c>
      <c r="AE614" s="188">
        <f t="shared" si="187"/>
        <v>0</v>
      </c>
      <c r="AF614" s="188">
        <f t="shared" si="188"/>
        <v>1.2500000004365575E-2</v>
      </c>
      <c r="AG614" s="188">
        <f t="shared" si="189"/>
        <v>0</v>
      </c>
    </row>
    <row r="615" spans="2:33" ht="15" customHeight="1" x14ac:dyDescent="0.15">
      <c r="B615" s="174" t="s">
        <v>5</v>
      </c>
      <c r="C615" s="175" t="s">
        <v>15</v>
      </c>
      <c r="D615" s="176" t="str">
        <f t="shared" si="171"/>
        <v>C</v>
      </c>
      <c r="E615" s="177" t="d">
        <v>2021-03-15T23:00:00.00000020954757600</v>
      </c>
      <c r="F615" s="178" t="s">
        <v>82</v>
      </c>
      <c r="G615" s="179">
        <v>3967.77</v>
      </c>
      <c r="H615" s="179">
        <v>3947.22</v>
      </c>
      <c r="I615" s="180">
        <f t="shared" si="172"/>
        <v>20.550000000000182</v>
      </c>
      <c r="J615" s="179">
        <v>4101.37</v>
      </c>
      <c r="K615" s="177" t="d">
        <v>2021-03-16T21:24:00.00000029336660775</v>
      </c>
      <c r="L615" s="179">
        <v>3959.44</v>
      </c>
      <c r="M615" s="181">
        <f t="shared" si="173"/>
        <v>-8.33</v>
      </c>
      <c r="N615" s="182">
        <f t="shared" si="174"/>
        <v>-0.41</v>
      </c>
      <c r="O615" s="183">
        <f t="shared" si="175"/>
        <v>0</v>
      </c>
      <c r="P615" s="184">
        <f t="shared" si="176"/>
        <v>0</v>
      </c>
      <c r="Q615" s="184">
        <f t="shared" si="177"/>
        <v>-0.41</v>
      </c>
      <c r="R61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27675</v>
      </c>
      <c r="T61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615" s="186">
        <f ca="1">IF(Tabla33610673[[#This Row],[Equity]]&lt;Tabla33610673[[#This Row],[Equity Peak]],(Tabla33610673[[#This Row],[Equity Peak]]-Tabla33610673[[#This Row],[Equity]])/Tabla33610673[[#This Row],[Equity Peak]],"")</f>
        <v>3.6900369003690036E-3</v>
      </c>
      <c r="V615" s="187">
        <f t="shared" si="178"/>
        <v>0</v>
      </c>
      <c r="W615" s="187">
        <f t="shared" si="179"/>
        <v>0</v>
      </c>
      <c r="X615" s="187">
        <f t="shared" si="180"/>
        <v>0</v>
      </c>
      <c r="Y615" s="187">
        <f t="shared" si="181"/>
        <v>0</v>
      </c>
      <c r="Z615" s="187">
        <f t="shared" si="182"/>
        <v>-0.41</v>
      </c>
      <c r="AA615" s="183">
        <f t="shared" si="183"/>
        <v>0</v>
      </c>
      <c r="AB615" s="187">
        <f t="shared" si="184"/>
        <v>0</v>
      </c>
      <c r="AC615" s="183">
        <f t="shared" si="185"/>
        <v>0</v>
      </c>
      <c r="AD615" s="188">
        <f t="shared" si="186"/>
        <v>0.93333333333430346</v>
      </c>
      <c r="AE615" s="188">
        <f t="shared" si="187"/>
        <v>0</v>
      </c>
      <c r="AF615" s="188">
        <f t="shared" si="188"/>
        <v>0.93333333333430346</v>
      </c>
      <c r="AG615" s="188">
        <f t="shared" si="189"/>
        <v>0</v>
      </c>
    </row>
    <row r="616" spans="2:33" ht="15" customHeight="1" x14ac:dyDescent="0.15">
      <c r="B616" s="174" t="s">
        <v>5</v>
      </c>
      <c r="C616" s="175" t="s">
        <v>15</v>
      </c>
      <c r="D616" s="176" t="str">
        <f t="shared" si="171"/>
        <v>C</v>
      </c>
      <c r="E616" s="177" t="d">
        <v>2021-03-15T23:00:00.00000020954757600</v>
      </c>
      <c r="F616" s="178" t="s">
        <v>81</v>
      </c>
      <c r="G616" s="179">
        <v>13080.13</v>
      </c>
      <c r="H616" s="179">
        <v>12999.24</v>
      </c>
      <c r="I616" s="180">
        <f t="shared" si="172"/>
        <v>80.889999999999418</v>
      </c>
      <c r="J616" s="179">
        <v>13565.48</v>
      </c>
      <c r="K616" s="177" t="d">
        <v>2021-03-16T19:21:00.00000012572854425</v>
      </c>
      <c r="L616" s="179">
        <v>13212.26</v>
      </c>
      <c r="M616" s="181">
        <f t="shared" si="173"/>
        <v>132.13</v>
      </c>
      <c r="N616" s="182">
        <f t="shared" si="174"/>
        <v>1.63</v>
      </c>
      <c r="O616" s="183">
        <f t="shared" si="175"/>
        <v>0</v>
      </c>
      <c r="P616" s="184">
        <f t="shared" si="176"/>
        <v>1.63</v>
      </c>
      <c r="Q616" s="184">
        <f t="shared" si="177"/>
        <v>0</v>
      </c>
      <c r="R61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27777.5</v>
      </c>
      <c r="T61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27777.5</v>
      </c>
      <c r="U616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616" s="187">
        <f t="shared" si="178"/>
        <v>0</v>
      </c>
      <c r="W616" s="187">
        <f t="shared" si="179"/>
        <v>0</v>
      </c>
      <c r="X616" s="187">
        <f t="shared" si="180"/>
        <v>0</v>
      </c>
      <c r="Y616" s="187">
        <f t="shared" si="181"/>
        <v>0</v>
      </c>
      <c r="Z616" s="187">
        <f t="shared" si="182"/>
        <v>1.63</v>
      </c>
      <c r="AA616" s="183">
        <f t="shared" si="183"/>
        <v>0</v>
      </c>
      <c r="AB616" s="187">
        <f t="shared" si="184"/>
        <v>0</v>
      </c>
      <c r="AC616" s="183">
        <f t="shared" si="185"/>
        <v>0</v>
      </c>
      <c r="AD616" s="188">
        <f t="shared" si="186"/>
        <v>0.84791666666569654</v>
      </c>
      <c r="AE616" s="188">
        <f t="shared" si="187"/>
        <v>0.84791666666569654</v>
      </c>
      <c r="AF616" s="188">
        <f t="shared" si="188"/>
        <v>0</v>
      </c>
      <c r="AG616" s="188">
        <f t="shared" si="189"/>
        <v>0</v>
      </c>
    </row>
    <row r="617" spans="2:33" ht="15" customHeight="1" x14ac:dyDescent="0.15">
      <c r="B617" s="174" t="s">
        <v>7</v>
      </c>
      <c r="C617" s="175" t="s">
        <v>13</v>
      </c>
      <c r="D617" s="176" t="str">
        <f t="shared" si="171"/>
        <v>C</v>
      </c>
      <c r="E617" s="177" t="d">
        <v>2021-03-16T12:00:00.000</v>
      </c>
      <c r="F617" s="178" t="s">
        <v>102</v>
      </c>
      <c r="G617" s="179">
        <v>150.93299999999999</v>
      </c>
      <c r="H617" s="179">
        <v>151.19900000000001</v>
      </c>
      <c r="I617" s="180">
        <f t="shared" si="172"/>
        <v>0.26600000000001955</v>
      </c>
      <c r="J617" s="179">
        <v>149.517</v>
      </c>
      <c r="K617" s="177" t="d">
        <v>2021-03-16T14:20:59.99999991618096825</v>
      </c>
      <c r="L617" s="179">
        <v>151.19900000000001</v>
      </c>
      <c r="M617" s="181">
        <f t="shared" si="173"/>
        <v>-0.26600000000000001</v>
      </c>
      <c r="N617" s="182">
        <f t="shared" si="174"/>
        <v>-1</v>
      </c>
      <c r="O617" s="183">
        <f t="shared" si="175"/>
        <v>0</v>
      </c>
      <c r="P617" s="184">
        <f t="shared" si="176"/>
        <v>0</v>
      </c>
      <c r="Q617" s="184">
        <f t="shared" si="177"/>
        <v>-1</v>
      </c>
      <c r="R61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27370</v>
      </c>
      <c r="T61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27770</v>
      </c>
      <c r="U617" s="186">
        <f ca="1">IF(Tabla33610673[[#This Row],[Equity]]&lt;Tabla33610673[[#This Row],[Equity Peak]],(Tabla33610673[[#This Row],[Equity Peak]]-Tabla33610673[[#This Row],[Equity]])/Tabla33610673[[#This Row],[Equity Peak]],"")</f>
        <v>1.4404033129276198E-2</v>
      </c>
      <c r="V617" s="187">
        <f t="shared" si="178"/>
        <v>-1</v>
      </c>
      <c r="W617" s="187">
        <f t="shared" si="179"/>
        <v>0</v>
      </c>
      <c r="X617" s="187">
        <f t="shared" si="180"/>
        <v>0</v>
      </c>
      <c r="Y617" s="187">
        <f t="shared" si="181"/>
        <v>0</v>
      </c>
      <c r="Z617" s="187">
        <f t="shared" si="182"/>
        <v>0</v>
      </c>
      <c r="AA617" s="183">
        <f t="shared" si="183"/>
        <v>0</v>
      </c>
      <c r="AB617" s="187">
        <f t="shared" si="184"/>
        <v>0</v>
      </c>
      <c r="AC617" s="183">
        <f t="shared" si="185"/>
        <v>0</v>
      </c>
      <c r="AD617" s="188">
        <f t="shared" si="186"/>
        <v>9.7916666665696539E-2</v>
      </c>
      <c r="AE617" s="188">
        <f t="shared" si="187"/>
        <v>0</v>
      </c>
      <c r="AF617" s="188">
        <f t="shared" si="188"/>
        <v>9.7916666665696539E-2</v>
      </c>
      <c r="AG617" s="188">
        <f t="shared" si="189"/>
        <v>0</v>
      </c>
    </row>
    <row r="618" spans="2:33" ht="15" customHeight="1" x14ac:dyDescent="0.15">
      <c r="B618" s="174" t="s">
        <v>19</v>
      </c>
      <c r="C618" s="175" t="s">
        <v>15</v>
      </c>
      <c r="D618" s="176" t="str">
        <f t="shared" si="171"/>
        <v>C</v>
      </c>
      <c r="E618" s="177" t="d">
        <v>2021-03-12T20:45:00.00000020954757600</v>
      </c>
      <c r="F618" s="178" t="s">
        <v>77</v>
      </c>
      <c r="G618" s="179">
        <v>1722.92</v>
      </c>
      <c r="H618" s="179">
        <v>1716.03</v>
      </c>
      <c r="I618" s="180">
        <f t="shared" si="172"/>
        <v>6.8900000000001</v>
      </c>
      <c r="J618" s="179">
        <v>1755.97</v>
      </c>
      <c r="K618" s="177" t="d">
        <v>2021-03-16T10:03:59.99999994412064550</v>
      </c>
      <c r="L618" s="179">
        <v>1730.23</v>
      </c>
      <c r="M618" s="181">
        <f t="shared" si="173"/>
        <v>7.31</v>
      </c>
      <c r="N618" s="182">
        <f t="shared" si="174"/>
        <v>1.06</v>
      </c>
      <c r="O618" s="183">
        <f t="shared" si="175"/>
        <v>0</v>
      </c>
      <c r="P618" s="184">
        <f t="shared" si="176"/>
        <v>1.06</v>
      </c>
      <c r="Q618" s="184">
        <f t="shared" si="177"/>
        <v>0</v>
      </c>
      <c r="R61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27620</v>
      </c>
      <c r="T61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27770</v>
      </c>
      <c r="U618" s="186">
        <f ca="1">IF(Tabla33610673[[#This Row],[Equity]]&lt;Tabla33610673[[#This Row],[Equity Peak]],(Tabla33610673[[#This Row],[Equity Peak]]-Tabla33610673[[#This Row],[Equity]])/Tabla33610673[[#This Row],[Equity Peak]],"")</f>
        <v>5.4015124234785741E-3</v>
      </c>
      <c r="V618" s="187">
        <f t="shared" si="178"/>
        <v>0</v>
      </c>
      <c r="W618" s="187">
        <f t="shared" si="179"/>
        <v>0</v>
      </c>
      <c r="X618" s="187">
        <f t="shared" si="180"/>
        <v>1.06</v>
      </c>
      <c r="Y618" s="187">
        <f t="shared" si="181"/>
        <v>0</v>
      </c>
      <c r="Z618" s="187">
        <f t="shared" si="182"/>
        <v>0</v>
      </c>
      <c r="AA618" s="183">
        <f t="shared" si="183"/>
        <v>0</v>
      </c>
      <c r="AB618" s="187">
        <f t="shared" si="184"/>
        <v>0</v>
      </c>
      <c r="AC618" s="183">
        <f t="shared" si="185"/>
        <v>0</v>
      </c>
      <c r="AD618" s="188">
        <f t="shared" si="186"/>
        <v>3.554861111108039</v>
      </c>
      <c r="AE618" s="188">
        <f t="shared" si="187"/>
        <v>3.554861111108039</v>
      </c>
      <c r="AF618" s="188">
        <f t="shared" si="188"/>
        <v>0</v>
      </c>
      <c r="AG618" s="188">
        <f t="shared" si="189"/>
        <v>0</v>
      </c>
    </row>
    <row r="619" spans="2:33" ht="15" customHeight="1" x14ac:dyDescent="0.15">
      <c r="B619" s="174" t="s">
        <v>5</v>
      </c>
      <c r="C619" s="175" t="s">
        <v>15</v>
      </c>
      <c r="D619" s="176" t="str">
        <f t="shared" si="171"/>
        <v>C</v>
      </c>
      <c r="E619" s="177" t="d">
        <v>2021-03-15T02:45:00.00000020954757600</v>
      </c>
      <c r="F619" s="178" t="s">
        <v>82</v>
      </c>
      <c r="G619" s="179">
        <v>3953.23</v>
      </c>
      <c r="H619" s="179">
        <v>3928.83</v>
      </c>
      <c r="I619" s="180">
        <f t="shared" si="172"/>
        <v>24.400000000000091</v>
      </c>
      <c r="J619" s="179">
        <v>4111.83</v>
      </c>
      <c r="K619" s="177" t="d">
        <v>2021-03-15T18:24:00.00000029336660775</v>
      </c>
      <c r="L619" s="179">
        <v>3934.66</v>
      </c>
      <c r="M619" s="181">
        <f t="shared" si="173"/>
        <v>-18.57</v>
      </c>
      <c r="N619" s="182">
        <f t="shared" si="174"/>
        <v>-0.76</v>
      </c>
      <c r="O619" s="183">
        <f t="shared" si="175"/>
        <v>0</v>
      </c>
      <c r="P619" s="184">
        <f t="shared" si="176"/>
        <v>0</v>
      </c>
      <c r="Q619" s="184">
        <f t="shared" si="177"/>
        <v>-0.76</v>
      </c>
      <c r="R61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27355</v>
      </c>
      <c r="T61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27770</v>
      </c>
      <c r="U619" s="186">
        <f ca="1">IF(Tabla33610673[[#This Row],[Equity]]&lt;Tabla33610673[[#This Row],[Equity Peak]],(Tabla33610673[[#This Row],[Equity Peak]]-Tabla33610673[[#This Row],[Equity]])/Tabla33610673[[#This Row],[Equity Peak]],"")</f>
        <v>1.4944184371624055E-2</v>
      </c>
      <c r="V619" s="187">
        <f t="shared" si="178"/>
        <v>0</v>
      </c>
      <c r="W619" s="187">
        <f t="shared" si="179"/>
        <v>0</v>
      </c>
      <c r="X619" s="187">
        <f t="shared" si="180"/>
        <v>0</v>
      </c>
      <c r="Y619" s="187">
        <f t="shared" si="181"/>
        <v>0</v>
      </c>
      <c r="Z619" s="187">
        <f t="shared" si="182"/>
        <v>-0.76</v>
      </c>
      <c r="AA619" s="183">
        <f t="shared" si="183"/>
        <v>0</v>
      </c>
      <c r="AB619" s="187">
        <f t="shared" si="184"/>
        <v>0</v>
      </c>
      <c r="AC619" s="183">
        <f t="shared" si="185"/>
        <v>0</v>
      </c>
      <c r="AD619" s="188">
        <f t="shared" si="186"/>
        <v>0.65208333333430346</v>
      </c>
      <c r="AE619" s="188">
        <f t="shared" si="187"/>
        <v>0</v>
      </c>
      <c r="AF619" s="188">
        <f t="shared" si="188"/>
        <v>0.65208333333430346</v>
      </c>
      <c r="AG619" s="188">
        <f t="shared" si="189"/>
        <v>0</v>
      </c>
    </row>
    <row r="620" spans="2:33" ht="15" customHeight="1" x14ac:dyDescent="0.15">
      <c r="B620" s="174" t="s">
        <v>7</v>
      </c>
      <c r="C620" s="175" t="s">
        <v>15</v>
      </c>
      <c r="D620" s="176" t="str">
        <f t="shared" si="171"/>
        <v>C</v>
      </c>
      <c r="E620" s="177" t="d">
        <v>2021-03-15T08:45:00.00000020954757600</v>
      </c>
      <c r="F620" s="178" t="s">
        <v>103</v>
      </c>
      <c r="G620" s="179">
        <v>109.256</v>
      </c>
      <c r="H620" s="179">
        <v>109.036</v>
      </c>
      <c r="I620" s="180">
        <f t="shared" si="172"/>
        <v>0.21999999999999886</v>
      </c>
      <c r="J620" s="179">
        <v>110.639</v>
      </c>
      <c r="K620" s="177" t="d">
        <v>2021-03-15T11:51:59.99999969266355025</v>
      </c>
      <c r="L620" s="179">
        <v>109.057</v>
      </c>
      <c r="M620" s="181">
        <f t="shared" si="173"/>
        <v>-0.19900000000000001</v>
      </c>
      <c r="N620" s="182">
        <f t="shared" si="174"/>
        <v>-0.9</v>
      </c>
      <c r="O620" s="183">
        <f t="shared" si="175"/>
        <v>0</v>
      </c>
      <c r="P620" s="184">
        <f t="shared" si="176"/>
        <v>0</v>
      </c>
      <c r="Q620" s="184">
        <f t="shared" si="177"/>
        <v>-0.9</v>
      </c>
      <c r="R62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27545</v>
      </c>
      <c r="T62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27770</v>
      </c>
      <c r="U620" s="186">
        <f ca="1">IF(Tabla33610673[[#This Row],[Equity]]&lt;Tabla33610673[[#This Row],[Equity Peak]],(Tabla33610673[[#This Row],[Equity Peak]]-Tabla33610673[[#This Row],[Equity]])/Tabla33610673[[#This Row],[Equity Peak]],"")</f>
        <v>8.1022686352178602E-3</v>
      </c>
      <c r="V620" s="187">
        <f t="shared" si="178"/>
        <v>-0.9</v>
      </c>
      <c r="W620" s="187">
        <f t="shared" si="179"/>
        <v>0</v>
      </c>
      <c r="X620" s="187">
        <f t="shared" si="180"/>
        <v>0</v>
      </c>
      <c r="Y620" s="187">
        <f t="shared" si="181"/>
        <v>0</v>
      </c>
      <c r="Z620" s="187">
        <f t="shared" si="182"/>
        <v>0</v>
      </c>
      <c r="AA620" s="183">
        <f t="shared" si="183"/>
        <v>0</v>
      </c>
      <c r="AB620" s="187">
        <f t="shared" si="184"/>
        <v>0</v>
      </c>
      <c r="AC620" s="183">
        <f t="shared" si="185"/>
        <v>0</v>
      </c>
      <c r="AD620" s="188">
        <f t="shared" si="186"/>
        <v>0.12986111110512866</v>
      </c>
      <c r="AE620" s="188">
        <f t="shared" si="187"/>
        <v>0</v>
      </c>
      <c r="AF620" s="188">
        <f t="shared" si="188"/>
        <v>0.12986111110512866</v>
      </c>
      <c r="AG620" s="188">
        <f t="shared" si="189"/>
        <v>0</v>
      </c>
    </row>
    <row r="621" spans="2:33" ht="15" customHeight="1" x14ac:dyDescent="0.15">
      <c r="B621" s="174" t="s">
        <v>7</v>
      </c>
      <c r="C621" s="175" t="s">
        <v>15</v>
      </c>
      <c r="D621" s="176" t="str">
        <f t="shared" si="171"/>
        <v>C</v>
      </c>
      <c r="E621" s="177" t="d">
        <v>2021-03-11T21:59:59.99999979045242400</v>
      </c>
      <c r="F621" s="178" t="s">
        <v>102</v>
      </c>
      <c r="G621" s="179">
        <v>151.71899999999999</v>
      </c>
      <c r="H621" s="179">
        <v>151.447</v>
      </c>
      <c r="I621" s="180">
        <f t="shared" si="172"/>
        <v>0.27199999999999136</v>
      </c>
      <c r="J621" s="179">
        <v>153.16999999999999</v>
      </c>
      <c r="K621" s="177" t="d">
        <v>2021-03-12T11:39:00.00000029336660775</v>
      </c>
      <c r="L621" s="179">
        <v>151.83000000000001</v>
      </c>
      <c r="M621" s="181">
        <f t="shared" si="173"/>
        <v>0.111</v>
      </c>
      <c r="N621" s="182">
        <f t="shared" si="174"/>
        <v>0.41</v>
      </c>
      <c r="O621" s="183">
        <f t="shared" si="175"/>
        <v>0</v>
      </c>
      <c r="P621" s="184">
        <f t="shared" si="176"/>
        <v>0.41</v>
      </c>
      <c r="Q621" s="184">
        <f t="shared" si="177"/>
        <v>0</v>
      </c>
      <c r="R62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27770</v>
      </c>
      <c r="T62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27770</v>
      </c>
      <c r="U621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621" s="187">
        <f t="shared" si="178"/>
        <v>0.41</v>
      </c>
      <c r="W621" s="187">
        <f t="shared" si="179"/>
        <v>0</v>
      </c>
      <c r="X621" s="187">
        <f t="shared" si="180"/>
        <v>0</v>
      </c>
      <c r="Y621" s="187">
        <f t="shared" si="181"/>
        <v>0</v>
      </c>
      <c r="Z621" s="187">
        <f t="shared" si="182"/>
        <v>0</v>
      </c>
      <c r="AA621" s="183">
        <f t="shared" si="183"/>
        <v>0</v>
      </c>
      <c r="AB621" s="187">
        <f t="shared" si="184"/>
        <v>0</v>
      </c>
      <c r="AC621" s="183">
        <f t="shared" si="185"/>
        <v>0</v>
      </c>
      <c r="AD621" s="188">
        <f t="shared" si="186"/>
        <v>0.56875000000582077</v>
      </c>
      <c r="AE621" s="188">
        <f t="shared" si="187"/>
        <v>0.56875000000582077</v>
      </c>
      <c r="AF621" s="188">
        <f t="shared" si="188"/>
        <v>0</v>
      </c>
      <c r="AG621" s="188">
        <f t="shared" si="189"/>
        <v>0</v>
      </c>
    </row>
    <row r="622" spans="2:33" ht="15" customHeight="1" x14ac:dyDescent="0.15">
      <c r="B622" s="174" t="s">
        <v>5</v>
      </c>
      <c r="C622" s="175" t="s">
        <v>15</v>
      </c>
      <c r="D622" s="176" t="str">
        <f t="shared" si="171"/>
        <v>C</v>
      </c>
      <c r="E622" s="177" t="d">
        <v>2021-03-08T16:44:59.99999979045242400</v>
      </c>
      <c r="F622" s="178" t="s">
        <v>80</v>
      </c>
      <c r="G622" s="179">
        <v>14253.93</v>
      </c>
      <c r="H622" s="179">
        <v>14163.95</v>
      </c>
      <c r="I622" s="180">
        <f t="shared" si="172"/>
        <v>89.979999999999563</v>
      </c>
      <c r="J622" s="179">
        <v>14913.79</v>
      </c>
      <c r="K622" s="177" t="d">
        <v>2021-03-12T10:03:59.99999994412064550</v>
      </c>
      <c r="L622" s="179">
        <v>14504.52</v>
      </c>
      <c r="M622" s="181">
        <f t="shared" si="173"/>
        <v>250.59</v>
      </c>
      <c r="N622" s="182">
        <f t="shared" si="174"/>
        <v>2.78</v>
      </c>
      <c r="O622" s="183">
        <f t="shared" si="175"/>
        <v>0</v>
      </c>
      <c r="P622" s="184">
        <f t="shared" si="176"/>
        <v>2.78</v>
      </c>
      <c r="Q622" s="184">
        <f t="shared" si="177"/>
        <v>0</v>
      </c>
      <c r="R62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27667.5</v>
      </c>
      <c r="T62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27667.5</v>
      </c>
      <c r="U622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622" s="187">
        <f t="shared" si="178"/>
        <v>0</v>
      </c>
      <c r="W622" s="187">
        <f t="shared" si="179"/>
        <v>0</v>
      </c>
      <c r="X622" s="187">
        <f t="shared" si="180"/>
        <v>0</v>
      </c>
      <c r="Y622" s="187">
        <f t="shared" si="181"/>
        <v>0</v>
      </c>
      <c r="Z622" s="187">
        <f t="shared" si="182"/>
        <v>2.78</v>
      </c>
      <c r="AA622" s="183">
        <f t="shared" si="183"/>
        <v>0</v>
      </c>
      <c r="AB622" s="187">
        <f t="shared" si="184"/>
        <v>0</v>
      </c>
      <c r="AC622" s="183">
        <f t="shared" si="185"/>
        <v>0</v>
      </c>
      <c r="AD622" s="188">
        <f t="shared" si="186"/>
        <v>3.7215277777795563</v>
      </c>
      <c r="AE622" s="188">
        <f t="shared" si="187"/>
        <v>3.7215277777795563</v>
      </c>
      <c r="AF622" s="188">
        <f t="shared" si="188"/>
        <v>0</v>
      </c>
      <c r="AG622" s="188">
        <f t="shared" si="189"/>
        <v>0</v>
      </c>
    </row>
    <row r="623" spans="2:33" ht="15" customHeight="1" x14ac:dyDescent="0.15">
      <c r="B623" s="174" t="s">
        <v>5</v>
      </c>
      <c r="C623" s="175" t="s">
        <v>15</v>
      </c>
      <c r="D623" s="176" t="str">
        <f t="shared" si="171"/>
        <v>C</v>
      </c>
      <c r="E623" s="177" t="d">
        <v>2021-03-10T15:45:00.000</v>
      </c>
      <c r="F623" s="178" t="s">
        <v>82</v>
      </c>
      <c r="G623" s="179">
        <v>3886.53</v>
      </c>
      <c r="H623" s="179">
        <v>3851.41</v>
      </c>
      <c r="I623" s="180">
        <f t="shared" si="172"/>
        <v>35.120000000000346</v>
      </c>
      <c r="J623" s="179">
        <v>4114.83</v>
      </c>
      <c r="K623" s="177" t="d">
        <v>2021-03-12T09:27:59.99999981839210125</v>
      </c>
      <c r="L623" s="179">
        <v>3926.47</v>
      </c>
      <c r="M623" s="181">
        <f t="shared" si="173"/>
        <v>39.94</v>
      </c>
      <c r="N623" s="182">
        <f t="shared" si="174"/>
        <v>1.1399999999999999</v>
      </c>
      <c r="O623" s="183">
        <f t="shared" si="175"/>
        <v>0</v>
      </c>
      <c r="P623" s="184">
        <f t="shared" si="176"/>
        <v>1.1399999999999999</v>
      </c>
      <c r="Q623" s="184">
        <f t="shared" si="177"/>
        <v>0</v>
      </c>
      <c r="R62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26972.5</v>
      </c>
      <c r="T62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27207.5</v>
      </c>
      <c r="U623" s="186">
        <f ca="1">IF(Tabla33610673[[#This Row],[Equity]]&lt;Tabla33610673[[#This Row],[Equity Peak]],(Tabla33610673[[#This Row],[Equity Peak]]-Tabla33610673[[#This Row],[Equity]])/Tabla33610673[[#This Row],[Equity Peak]],"")</f>
        <v>8.6373242672057333E-3</v>
      </c>
      <c r="V623" s="187">
        <f t="shared" si="178"/>
        <v>0</v>
      </c>
      <c r="W623" s="187">
        <f t="shared" si="179"/>
        <v>0</v>
      </c>
      <c r="X623" s="187">
        <f t="shared" si="180"/>
        <v>0</v>
      </c>
      <c r="Y623" s="187">
        <f t="shared" si="181"/>
        <v>0</v>
      </c>
      <c r="Z623" s="187">
        <f t="shared" si="182"/>
        <v>1.1399999999999999</v>
      </c>
      <c r="AA623" s="183">
        <f t="shared" si="183"/>
        <v>0</v>
      </c>
      <c r="AB623" s="187">
        <f t="shared" si="184"/>
        <v>0</v>
      </c>
      <c r="AC623" s="183">
        <f t="shared" si="185"/>
        <v>0</v>
      </c>
      <c r="AD623" s="188">
        <f t="shared" si="186"/>
        <v>1.7381944444423425</v>
      </c>
      <c r="AE623" s="188">
        <f t="shared" si="187"/>
        <v>1.7381944444423425</v>
      </c>
      <c r="AF623" s="188">
        <f t="shared" si="188"/>
        <v>0</v>
      </c>
      <c r="AG623" s="188">
        <f t="shared" si="189"/>
        <v>0</v>
      </c>
    </row>
    <row r="624" spans="2:33" ht="15" customHeight="1" x14ac:dyDescent="0.15">
      <c r="B624" s="174" t="s">
        <v>5</v>
      </c>
      <c r="C624" s="175" t="s">
        <v>15</v>
      </c>
      <c r="D624" s="176" t="str">
        <f t="shared" si="171"/>
        <v>C</v>
      </c>
      <c r="E624" s="177" t="d">
        <v>2021-03-11T18:00:00.000</v>
      </c>
      <c r="F624" s="178" t="s">
        <v>81</v>
      </c>
      <c r="G624" s="179">
        <v>13026.42</v>
      </c>
      <c r="H624" s="179">
        <v>12923.77</v>
      </c>
      <c r="I624" s="180">
        <f t="shared" si="172"/>
        <v>102.64999999999964</v>
      </c>
      <c r="J624" s="179">
        <v>13642.33</v>
      </c>
      <c r="K624" s="177" t="d">
        <v>2021-03-12T09:07:00.00000011175870900</v>
      </c>
      <c r="L624" s="179">
        <v>12948.01</v>
      </c>
      <c r="M624" s="181">
        <f t="shared" si="173"/>
        <v>-78.41</v>
      </c>
      <c r="N624" s="182">
        <f t="shared" si="174"/>
        <v>-0.76</v>
      </c>
      <c r="O624" s="183">
        <f t="shared" si="175"/>
        <v>0</v>
      </c>
      <c r="P624" s="184">
        <f t="shared" si="176"/>
        <v>0</v>
      </c>
      <c r="Q624" s="184">
        <f t="shared" si="177"/>
        <v>-0.76</v>
      </c>
      <c r="R62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26687.5</v>
      </c>
      <c r="T62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27207.5</v>
      </c>
      <c r="U624" s="186">
        <f ca="1">IF(Tabla33610673[[#This Row],[Equity]]&lt;Tabla33610673[[#This Row],[Equity Peak]],(Tabla33610673[[#This Row],[Equity Peak]]-Tabla33610673[[#This Row],[Equity]])/Tabla33610673[[#This Row],[Equity Peak]],"")</f>
        <v>1.9112377101902049E-2</v>
      </c>
      <c r="V624" s="187">
        <f t="shared" si="178"/>
        <v>0</v>
      </c>
      <c r="W624" s="187">
        <f t="shared" si="179"/>
        <v>0</v>
      </c>
      <c r="X624" s="187">
        <f t="shared" si="180"/>
        <v>0</v>
      </c>
      <c r="Y624" s="187">
        <f t="shared" si="181"/>
        <v>0</v>
      </c>
      <c r="Z624" s="187">
        <f t="shared" si="182"/>
        <v>-0.76</v>
      </c>
      <c r="AA624" s="183">
        <f t="shared" si="183"/>
        <v>0</v>
      </c>
      <c r="AB624" s="187">
        <f t="shared" si="184"/>
        <v>0</v>
      </c>
      <c r="AC624" s="183">
        <f t="shared" si="185"/>
        <v>0</v>
      </c>
      <c r="AD624" s="188">
        <f t="shared" si="186"/>
        <v>0.62986111111240461</v>
      </c>
      <c r="AE624" s="188">
        <f t="shared" si="187"/>
        <v>0</v>
      </c>
      <c r="AF624" s="188">
        <f t="shared" si="188"/>
        <v>0.62986111111240461</v>
      </c>
      <c r="AG624" s="188">
        <f t="shared" si="189"/>
        <v>0</v>
      </c>
    </row>
    <row r="625" spans="2:33" ht="15" customHeight="1" x14ac:dyDescent="0.15">
      <c r="B625" s="174" t="s">
        <v>7</v>
      </c>
      <c r="C625" s="175" t="s">
        <v>15</v>
      </c>
      <c r="D625" s="176" t="str">
        <f t="shared" si="171"/>
        <v>C</v>
      </c>
      <c r="E625" s="177" t="d">
        <v>2021-03-11T06:59:59.99999979045242400</v>
      </c>
      <c r="F625" s="178" t="s">
        <v>102</v>
      </c>
      <c r="G625" s="179">
        <v>151.38200000000001</v>
      </c>
      <c r="H625" s="179">
        <v>151.09299999999999</v>
      </c>
      <c r="I625" s="180">
        <f t="shared" si="172"/>
        <v>0.28900000000001569</v>
      </c>
      <c r="J625" s="179">
        <v>152.92500000000001</v>
      </c>
      <c r="K625" s="177" t="d">
        <v>2021-03-11T10:51:59.99999990221113300</v>
      </c>
      <c r="L625" s="179">
        <v>151.24</v>
      </c>
      <c r="M625" s="181">
        <f t="shared" si="173"/>
        <v>-0.14199999999999999</v>
      </c>
      <c r="N625" s="182">
        <f t="shared" si="174"/>
        <v>-0.49</v>
      </c>
      <c r="O625" s="183">
        <f t="shared" si="175"/>
        <v>0</v>
      </c>
      <c r="P625" s="184">
        <f t="shared" si="176"/>
        <v>0</v>
      </c>
      <c r="Q625" s="184">
        <f t="shared" si="177"/>
        <v>-0.49</v>
      </c>
      <c r="R62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26877.5</v>
      </c>
      <c r="T62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27207.5</v>
      </c>
      <c r="U625" s="186">
        <f ca="1">IF(Tabla33610673[[#This Row],[Equity]]&lt;Tabla33610673[[#This Row],[Equity Peak]],(Tabla33610673[[#This Row],[Equity Peak]]-Tabla33610673[[#This Row],[Equity]])/Tabla33610673[[#This Row],[Equity Peak]],"")</f>
        <v>1.2129008545437839E-2</v>
      </c>
      <c r="V625" s="187">
        <f t="shared" si="178"/>
        <v>-0.49</v>
      </c>
      <c r="W625" s="187">
        <f t="shared" si="179"/>
        <v>0</v>
      </c>
      <c r="X625" s="187">
        <f t="shared" si="180"/>
        <v>0</v>
      </c>
      <c r="Y625" s="187">
        <f t="shared" si="181"/>
        <v>0</v>
      </c>
      <c r="Z625" s="187">
        <f t="shared" si="182"/>
        <v>0</v>
      </c>
      <c r="AA625" s="183">
        <f t="shared" si="183"/>
        <v>0</v>
      </c>
      <c r="AB625" s="187">
        <f t="shared" si="184"/>
        <v>0</v>
      </c>
      <c r="AC625" s="183">
        <f t="shared" si="185"/>
        <v>0</v>
      </c>
      <c r="AD625" s="188">
        <f t="shared" si="186"/>
        <v>0.16111111111240461</v>
      </c>
      <c r="AE625" s="188">
        <f t="shared" si="187"/>
        <v>0</v>
      </c>
      <c r="AF625" s="188">
        <f t="shared" si="188"/>
        <v>0.16111111111240461</v>
      </c>
      <c r="AG625" s="188">
        <f t="shared" si="189"/>
        <v>0</v>
      </c>
    </row>
    <row r="626" spans="2:33" ht="15" customHeight="1" x14ac:dyDescent="0.15">
      <c r="B626" s="174" t="s">
        <v>19</v>
      </c>
      <c r="C626" s="175" t="s">
        <v>15</v>
      </c>
      <c r="D626" s="176" t="str">
        <f t="shared" si="171"/>
        <v>C</v>
      </c>
      <c r="E626" s="177" t="d">
        <v>2021-03-09T08:45:00.00000020954757600</v>
      </c>
      <c r="F626" s="178" t="s">
        <v>77</v>
      </c>
      <c r="G626" s="179">
        <v>1693.22</v>
      </c>
      <c r="H626" s="179">
        <v>1685.29</v>
      </c>
      <c r="I626" s="180">
        <f t="shared" si="172"/>
        <v>7.9300000000000637</v>
      </c>
      <c r="J626" s="179">
        <v>1731.26</v>
      </c>
      <c r="K626" s="177" t="d">
        <v>2021-03-10T04:09:00.00000029336660775</v>
      </c>
      <c r="L626" s="179">
        <v>1711.31</v>
      </c>
      <c r="M626" s="181">
        <f t="shared" si="173"/>
        <v>18.09</v>
      </c>
      <c r="N626" s="182">
        <f t="shared" si="174"/>
        <v>2.2799999999999998</v>
      </c>
      <c r="O626" s="183">
        <f t="shared" si="175"/>
        <v>0</v>
      </c>
      <c r="P626" s="184">
        <f t="shared" si="176"/>
        <v>2.2799999999999998</v>
      </c>
      <c r="Q626" s="184">
        <f t="shared" si="177"/>
        <v>0</v>
      </c>
      <c r="R62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27000</v>
      </c>
      <c r="T62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27207.5</v>
      </c>
      <c r="U626" s="186">
        <f ca="1">IF(Tabla33610673[[#This Row],[Equity]]&lt;Tabla33610673[[#This Row],[Equity Peak]],(Tabla33610673[[#This Row],[Equity Peak]]-Tabla33610673[[#This Row],[Equity]])/Tabla33610673[[#This Row],[Equity Peak]],"")</f>
        <v>7.6265735550859141E-3</v>
      </c>
      <c r="V626" s="187">
        <f t="shared" si="178"/>
        <v>0</v>
      </c>
      <c r="W626" s="187">
        <f t="shared" si="179"/>
        <v>0</v>
      </c>
      <c r="X626" s="187">
        <f t="shared" si="180"/>
        <v>2.2799999999999998</v>
      </c>
      <c r="Y626" s="187">
        <f t="shared" si="181"/>
        <v>0</v>
      </c>
      <c r="Z626" s="187">
        <f t="shared" si="182"/>
        <v>0</v>
      </c>
      <c r="AA626" s="183">
        <f t="shared" si="183"/>
        <v>0</v>
      </c>
      <c r="AB626" s="187">
        <f t="shared" si="184"/>
        <v>0</v>
      </c>
      <c r="AC626" s="183">
        <f t="shared" si="185"/>
        <v>0</v>
      </c>
      <c r="AD626" s="188">
        <f t="shared" si="186"/>
        <v>0.80833333333430346</v>
      </c>
      <c r="AE626" s="188">
        <f t="shared" si="187"/>
        <v>0.80833333333430346</v>
      </c>
      <c r="AF626" s="188">
        <f t="shared" si="188"/>
        <v>0</v>
      </c>
      <c r="AG626" s="188">
        <f t="shared" si="189"/>
        <v>0</v>
      </c>
    </row>
    <row r="627" spans="2:33" ht="15" customHeight="1" x14ac:dyDescent="0.15">
      <c r="B627" s="174" t="s">
        <v>5</v>
      </c>
      <c r="C627" s="175" t="s">
        <v>15</v>
      </c>
      <c r="D627" s="176" t="str">
        <f t="shared" si="171"/>
        <v>C</v>
      </c>
      <c r="E627" s="177" t="d">
        <v>2021-03-09T17:00:00.00000020954757600</v>
      </c>
      <c r="F627" s="178" t="s">
        <v>82</v>
      </c>
      <c r="G627" s="179">
        <v>3876.65</v>
      </c>
      <c r="H627" s="179">
        <v>3840.47</v>
      </c>
      <c r="I627" s="180">
        <f t="shared" si="172"/>
        <v>36.180000000000291</v>
      </c>
      <c r="J627" s="179">
        <v>4111.84</v>
      </c>
      <c r="K627" s="177" t="d">
        <v>2021-03-10T03:53:59.99999987427145575</v>
      </c>
      <c r="L627" s="179">
        <v>3865.2</v>
      </c>
      <c r="M627" s="181">
        <f t="shared" si="173"/>
        <v>-11.45</v>
      </c>
      <c r="N627" s="182">
        <f t="shared" si="174"/>
        <v>-0.32</v>
      </c>
      <c r="O627" s="183">
        <f t="shared" si="175"/>
        <v>0</v>
      </c>
      <c r="P627" s="184">
        <f t="shared" si="176"/>
        <v>0</v>
      </c>
      <c r="Q627" s="184">
        <f t="shared" si="177"/>
        <v>-0.32</v>
      </c>
      <c r="R62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26430</v>
      </c>
      <c r="T62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27207.5</v>
      </c>
      <c r="U627" s="186">
        <f ca="1">IF(Tabla33610673[[#This Row],[Equity]]&lt;Tabla33610673[[#This Row],[Equity Peak]],(Tabla33610673[[#This Row],[Equity Peak]]-Tabla33610673[[#This Row],[Equity]])/Tabla33610673[[#This Row],[Equity Peak]],"")</f>
        <v>2.8576679224478544E-2</v>
      </c>
      <c r="V627" s="187">
        <f t="shared" si="178"/>
        <v>0</v>
      </c>
      <c r="W627" s="187">
        <f t="shared" si="179"/>
        <v>0</v>
      </c>
      <c r="X627" s="187">
        <f t="shared" si="180"/>
        <v>0</v>
      </c>
      <c r="Y627" s="187">
        <f t="shared" si="181"/>
        <v>0</v>
      </c>
      <c r="Z627" s="187">
        <f t="shared" si="182"/>
        <v>-0.32</v>
      </c>
      <c r="AA627" s="183">
        <f t="shared" si="183"/>
        <v>0</v>
      </c>
      <c r="AB627" s="187">
        <f t="shared" si="184"/>
        <v>0</v>
      </c>
      <c r="AC627" s="183">
        <f t="shared" si="185"/>
        <v>0</v>
      </c>
      <c r="AD627" s="188">
        <f t="shared" si="186"/>
        <v>0.45416666666278616</v>
      </c>
      <c r="AE627" s="188">
        <f t="shared" si="187"/>
        <v>0</v>
      </c>
      <c r="AF627" s="188">
        <f t="shared" si="188"/>
        <v>0.45416666666278616</v>
      </c>
      <c r="AG627" s="188">
        <f t="shared" si="189"/>
        <v>0</v>
      </c>
    </row>
    <row r="628" spans="2:33" ht="15" customHeight="1" x14ac:dyDescent="0.15">
      <c r="B628" s="174" t="s">
        <v>7</v>
      </c>
      <c r="C628" s="175" t="s">
        <v>15</v>
      </c>
      <c r="D628" s="176" t="str">
        <f t="shared" si="171"/>
        <v>C</v>
      </c>
      <c r="E628" s="177" t="d">
        <v>2021-03-09T03:14:59.99999979045242400</v>
      </c>
      <c r="F628" s="178" t="s">
        <v>102</v>
      </c>
      <c r="G628" s="179">
        <v>150.81399999999999</v>
      </c>
      <c r="H628" s="179">
        <v>150.46</v>
      </c>
      <c r="I628" s="180">
        <f t="shared" si="172"/>
        <v>0.35399999999998499</v>
      </c>
      <c r="J628" s="179">
        <v>152.70099999999999</v>
      </c>
      <c r="K628" s="177" t="d">
        <v>2021-03-09T18:46:00.00000019557774075</v>
      </c>
      <c r="L628" s="179">
        <v>150.75899999999999</v>
      </c>
      <c r="M628" s="181">
        <f t="shared" si="173"/>
        <v>-5.5E-2</v>
      </c>
      <c r="N628" s="182">
        <f t="shared" si="174"/>
        <v>-0.16</v>
      </c>
      <c r="O628" s="183">
        <f t="shared" si="175"/>
        <v>0</v>
      </c>
      <c r="P628" s="184">
        <f t="shared" si="176"/>
        <v>0</v>
      </c>
      <c r="Q628" s="184">
        <f t="shared" si="177"/>
        <v>-0.16</v>
      </c>
      <c r="R62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26510</v>
      </c>
      <c r="T62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27207.5</v>
      </c>
      <c r="U628" s="186">
        <f ca="1">IF(Tabla33610673[[#This Row],[Equity]]&lt;Tabla33610673[[#This Row],[Equity Peak]],(Tabla33610673[[#This Row],[Equity Peak]]-Tabla33610673[[#This Row],[Equity]])/Tabla33610673[[#This Row],[Equity Peak]],"")</f>
        <v>2.5636313516493613E-2</v>
      </c>
      <c r="V628" s="187">
        <f t="shared" si="178"/>
        <v>-0.16</v>
      </c>
      <c r="W628" s="187">
        <f t="shared" si="179"/>
        <v>0</v>
      </c>
      <c r="X628" s="187">
        <f t="shared" si="180"/>
        <v>0</v>
      </c>
      <c r="Y628" s="187">
        <f t="shared" si="181"/>
        <v>0</v>
      </c>
      <c r="Z628" s="187">
        <f t="shared" si="182"/>
        <v>0</v>
      </c>
      <c r="AA628" s="183">
        <f t="shared" si="183"/>
        <v>0</v>
      </c>
      <c r="AB628" s="187">
        <f t="shared" si="184"/>
        <v>0</v>
      </c>
      <c r="AC628" s="183">
        <f t="shared" si="185"/>
        <v>0</v>
      </c>
      <c r="AD628" s="188">
        <f t="shared" si="186"/>
        <v>0.64652777778246673</v>
      </c>
      <c r="AE628" s="188">
        <f t="shared" si="187"/>
        <v>0</v>
      </c>
      <c r="AF628" s="188">
        <f t="shared" si="188"/>
        <v>0.64652777778246673</v>
      </c>
      <c r="AG628" s="188">
        <f t="shared" si="189"/>
        <v>0</v>
      </c>
    </row>
    <row r="629" spans="2:33" ht="15" customHeight="1" x14ac:dyDescent="0.15">
      <c r="B629" s="174" t="s">
        <v>7</v>
      </c>
      <c r="C629" s="175" t="s">
        <v>15</v>
      </c>
      <c r="D629" s="176" t="str">
        <f t="shared" si="171"/>
        <v>C</v>
      </c>
      <c r="E629" s="177" t="d">
        <v>2021-03-08T15:00:00.000</v>
      </c>
      <c r="F629" s="178" t="s">
        <v>103</v>
      </c>
      <c r="G629" s="179">
        <v>108.68600000000001</v>
      </c>
      <c r="H629" s="179">
        <v>108.496</v>
      </c>
      <c r="I629" s="180">
        <f t="shared" si="172"/>
        <v>0.19000000000001194</v>
      </c>
      <c r="J629" s="179">
        <v>109.88200000000001</v>
      </c>
      <c r="K629" s="177" t="d">
        <v>2021-03-09T09:36:00.00000012572854425</v>
      </c>
      <c r="L629" s="179">
        <v>108.95</v>
      </c>
      <c r="M629" s="181">
        <f t="shared" si="173"/>
        <v>0.26400000000000001</v>
      </c>
      <c r="N629" s="182">
        <f t="shared" si="174"/>
        <v>1.39</v>
      </c>
      <c r="O629" s="183">
        <f t="shared" si="175"/>
        <v>0</v>
      </c>
      <c r="P629" s="184">
        <f t="shared" si="176"/>
        <v>1.39</v>
      </c>
      <c r="Q629" s="184">
        <f t="shared" si="177"/>
        <v>0</v>
      </c>
      <c r="R62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26550</v>
      </c>
      <c r="T62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27207.5</v>
      </c>
      <c r="U629" s="186">
        <f ca="1">IF(Tabla33610673[[#This Row],[Equity]]&lt;Tabla33610673[[#This Row],[Equity Peak]],(Tabla33610673[[#This Row],[Equity Peak]]-Tabla33610673[[#This Row],[Equity]])/Tabla33610673[[#This Row],[Equity Peak]],"")</f>
        <v>2.4166130662501149E-2</v>
      </c>
      <c r="V629" s="187">
        <f t="shared" si="178"/>
        <v>1.39</v>
      </c>
      <c r="W629" s="187">
        <f t="shared" si="179"/>
        <v>0</v>
      </c>
      <c r="X629" s="187">
        <f t="shared" si="180"/>
        <v>0</v>
      </c>
      <c r="Y629" s="187">
        <f t="shared" si="181"/>
        <v>0</v>
      </c>
      <c r="Z629" s="187">
        <f t="shared" si="182"/>
        <v>0</v>
      </c>
      <c r="AA629" s="183">
        <f t="shared" si="183"/>
        <v>0</v>
      </c>
      <c r="AB629" s="187">
        <f t="shared" si="184"/>
        <v>0</v>
      </c>
      <c r="AC629" s="183">
        <f t="shared" si="185"/>
        <v>0</v>
      </c>
      <c r="AD629" s="188">
        <f t="shared" si="186"/>
        <v>0.77500000000145519</v>
      </c>
      <c r="AE629" s="188">
        <f t="shared" si="187"/>
        <v>0.77500000000145519</v>
      </c>
      <c r="AF629" s="188">
        <f t="shared" si="188"/>
        <v>0</v>
      </c>
      <c r="AG629" s="188">
        <f t="shared" si="189"/>
        <v>0</v>
      </c>
    </row>
    <row r="630" spans="2:33" ht="15" customHeight="1" x14ac:dyDescent="0.15">
      <c r="B630" s="174" t="s">
        <v>5</v>
      </c>
      <c r="C630" s="175" t="s">
        <v>15</v>
      </c>
      <c r="D630" s="176" t="str">
        <f t="shared" si="171"/>
        <v>C</v>
      </c>
      <c r="E630" s="177" t="d">
        <v>2021-03-08T17:29:59.99999979045242400</v>
      </c>
      <c r="F630" s="178" t="s">
        <v>82</v>
      </c>
      <c r="G630" s="179">
        <v>3871.35</v>
      </c>
      <c r="H630" s="179">
        <v>3835.94</v>
      </c>
      <c r="I630" s="180">
        <f t="shared" si="172"/>
        <v>35.409999999999854</v>
      </c>
      <c r="J630" s="179">
        <v>4101.5</v>
      </c>
      <c r="K630" s="177" t="d">
        <v>2021-03-08T22:03:59.99999994412064550</v>
      </c>
      <c r="L630" s="179">
        <v>3842.04</v>
      </c>
      <c r="M630" s="181">
        <f t="shared" si="173"/>
        <v>-29.31</v>
      </c>
      <c r="N630" s="182">
        <f t="shared" si="174"/>
        <v>-0.83</v>
      </c>
      <c r="O630" s="183">
        <f t="shared" si="175"/>
        <v>0</v>
      </c>
      <c r="P630" s="184">
        <f t="shared" si="176"/>
        <v>0</v>
      </c>
      <c r="Q630" s="184">
        <f t="shared" si="177"/>
        <v>-0.83</v>
      </c>
      <c r="R63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26202.5</v>
      </c>
      <c r="T63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27207.5</v>
      </c>
      <c r="U630" s="186">
        <f ca="1">IF(Tabla33610673[[#This Row],[Equity]]&lt;Tabla33610673[[#This Row],[Equity Peak]],(Tabla33610673[[#This Row],[Equity Peak]]-Tabla33610673[[#This Row],[Equity]])/Tabla33610673[[#This Row],[Equity Peak]],"")</f>
        <v>3.693834420656069E-2</v>
      </c>
      <c r="V630" s="187">
        <f t="shared" si="178"/>
        <v>0</v>
      </c>
      <c r="W630" s="187">
        <f t="shared" si="179"/>
        <v>0</v>
      </c>
      <c r="X630" s="187">
        <f t="shared" si="180"/>
        <v>0</v>
      </c>
      <c r="Y630" s="187">
        <f t="shared" si="181"/>
        <v>0</v>
      </c>
      <c r="Z630" s="187">
        <f t="shared" si="182"/>
        <v>-0.83</v>
      </c>
      <c r="AA630" s="183">
        <f t="shared" si="183"/>
        <v>0</v>
      </c>
      <c r="AB630" s="187">
        <f t="shared" si="184"/>
        <v>0</v>
      </c>
      <c r="AC630" s="183">
        <f t="shared" si="185"/>
        <v>0</v>
      </c>
      <c r="AD630" s="188">
        <f t="shared" si="186"/>
        <v>0.19027777777955635</v>
      </c>
      <c r="AE630" s="188">
        <f t="shared" si="187"/>
        <v>0</v>
      </c>
      <c r="AF630" s="188">
        <f t="shared" si="188"/>
        <v>0.19027777777955635</v>
      </c>
      <c r="AG630" s="188">
        <f t="shared" si="189"/>
        <v>0</v>
      </c>
    </row>
    <row r="631" spans="2:33" ht="15" customHeight="1" x14ac:dyDescent="0.15">
      <c r="B631" s="174" t="s">
        <v>19</v>
      </c>
      <c r="C631" s="175" t="s">
        <v>15</v>
      </c>
      <c r="D631" s="176" t="str">
        <f t="shared" si="171"/>
        <v>C</v>
      </c>
      <c r="E631" s="177" t="d">
        <v>2021-03-08T01:30:00.000</v>
      </c>
      <c r="F631" s="178" t="s">
        <v>77</v>
      </c>
      <c r="G631" s="179">
        <v>1711.01</v>
      </c>
      <c r="H631" s="179">
        <v>1702.63</v>
      </c>
      <c r="I631" s="180">
        <f t="shared" si="172"/>
        <v>8.3799999999998818</v>
      </c>
      <c r="J631" s="179">
        <v>1751.24</v>
      </c>
      <c r="K631" s="177" t="d">
        <v>2021-03-08T09:07:00.00000011175870900</v>
      </c>
      <c r="L631" s="179">
        <v>1702.63</v>
      </c>
      <c r="M631" s="181">
        <f t="shared" si="173"/>
        <v>-8.3800000000000008</v>
      </c>
      <c r="N631" s="182">
        <f t="shared" si="174"/>
        <v>-1</v>
      </c>
      <c r="O631" s="183">
        <f t="shared" si="175"/>
        <v>0</v>
      </c>
      <c r="P631" s="184">
        <f t="shared" si="176"/>
        <v>0</v>
      </c>
      <c r="Q631" s="184">
        <f t="shared" si="177"/>
        <v>-1</v>
      </c>
      <c r="R63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26410</v>
      </c>
      <c r="T63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27207.5</v>
      </c>
      <c r="U631" s="186">
        <f ca="1">IF(Tabla33610673[[#This Row],[Equity]]&lt;Tabla33610673[[#This Row],[Equity Peak]],(Tabla33610673[[#This Row],[Equity Peak]]-Tabla33610673[[#This Row],[Equity]])/Tabla33610673[[#This Row],[Equity Peak]],"")</f>
        <v>2.9311770651474778E-2</v>
      </c>
      <c r="V631" s="187">
        <f t="shared" si="178"/>
        <v>0</v>
      </c>
      <c r="W631" s="187">
        <f t="shared" si="179"/>
        <v>0</v>
      </c>
      <c r="X631" s="187">
        <f t="shared" si="180"/>
        <v>-1</v>
      </c>
      <c r="Y631" s="187">
        <f t="shared" si="181"/>
        <v>0</v>
      </c>
      <c r="Z631" s="187">
        <f t="shared" si="182"/>
        <v>0</v>
      </c>
      <c r="AA631" s="183">
        <f t="shared" si="183"/>
        <v>0</v>
      </c>
      <c r="AB631" s="187">
        <f t="shared" si="184"/>
        <v>0</v>
      </c>
      <c r="AC631" s="183">
        <f t="shared" si="185"/>
        <v>0</v>
      </c>
      <c r="AD631" s="188">
        <f t="shared" si="186"/>
        <v>0.31736111111240461</v>
      </c>
      <c r="AE631" s="188">
        <f t="shared" si="187"/>
        <v>0</v>
      </c>
      <c r="AF631" s="188">
        <f t="shared" si="188"/>
        <v>0.31736111111240461</v>
      </c>
      <c r="AG631" s="188">
        <f t="shared" si="189"/>
        <v>0</v>
      </c>
    </row>
    <row r="632" spans="2:33" ht="15" customHeight="1" x14ac:dyDescent="0.15">
      <c r="B632" s="174" t="s">
        <v>5</v>
      </c>
      <c r="C632" s="175" t="s">
        <v>15</v>
      </c>
      <c r="D632" s="176" t="str">
        <f t="shared" si="171"/>
        <v>C</v>
      </c>
      <c r="E632" s="177" t="d">
        <v>2021-03-05T21:59:59.99999979045242400</v>
      </c>
      <c r="F632" s="178" t="s">
        <v>82</v>
      </c>
      <c r="G632" s="179">
        <v>3835.45</v>
      </c>
      <c r="H632" s="179">
        <v>3802.32</v>
      </c>
      <c r="I632" s="180">
        <f t="shared" si="172"/>
        <v>33.129999999999654</v>
      </c>
      <c r="J632" s="179">
        <v>4050.79</v>
      </c>
      <c r="K632" s="177" t="d">
        <v>2021-03-08T04:45:59.99999998603016475</v>
      </c>
      <c r="L632" s="179">
        <v>3829.3</v>
      </c>
      <c r="M632" s="181">
        <f t="shared" si="173"/>
        <v>-6.15</v>
      </c>
      <c r="N632" s="182">
        <f t="shared" si="174"/>
        <v>-0.19</v>
      </c>
      <c r="O632" s="183">
        <f t="shared" si="175"/>
        <v>0</v>
      </c>
      <c r="P632" s="184">
        <f t="shared" si="176"/>
        <v>0</v>
      </c>
      <c r="Q632" s="184">
        <f t="shared" si="177"/>
        <v>-0.19</v>
      </c>
      <c r="R63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26660</v>
      </c>
      <c r="T63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27207.5</v>
      </c>
      <c r="U632" s="186">
        <f ca="1">IF(Tabla33610673[[#This Row],[Equity]]&lt;Tabla33610673[[#This Row],[Equity Peak]],(Tabla33610673[[#This Row],[Equity Peak]]-Tabla33610673[[#This Row],[Equity]])/Tabla33610673[[#This Row],[Equity Peak]],"")</f>
        <v>2.0123127814021868E-2</v>
      </c>
      <c r="V632" s="187">
        <f t="shared" si="178"/>
        <v>0</v>
      </c>
      <c r="W632" s="187">
        <f t="shared" si="179"/>
        <v>0</v>
      </c>
      <c r="X632" s="187">
        <f t="shared" si="180"/>
        <v>0</v>
      </c>
      <c r="Y632" s="187">
        <f t="shared" si="181"/>
        <v>0</v>
      </c>
      <c r="Z632" s="187">
        <f t="shared" si="182"/>
        <v>-0.19</v>
      </c>
      <c r="AA632" s="183">
        <f t="shared" si="183"/>
        <v>0</v>
      </c>
      <c r="AB632" s="187">
        <f t="shared" si="184"/>
        <v>0</v>
      </c>
      <c r="AC632" s="183">
        <f t="shared" si="185"/>
        <v>0</v>
      </c>
      <c r="AD632" s="188">
        <f t="shared" si="186"/>
        <v>2.2819444444467081</v>
      </c>
      <c r="AE632" s="188">
        <f t="shared" si="187"/>
        <v>0</v>
      </c>
      <c r="AF632" s="188">
        <f t="shared" si="188"/>
        <v>2.2819444444467081</v>
      </c>
      <c r="AG632" s="188">
        <f t="shared" si="189"/>
        <v>0</v>
      </c>
    </row>
    <row r="633" spans="2:33" ht="15" customHeight="1" x14ac:dyDescent="0.15">
      <c r="B633" s="174" t="s">
        <v>5</v>
      </c>
      <c r="C633" s="175" t="s">
        <v>13</v>
      </c>
      <c r="D633" s="176" t="str">
        <f t="shared" si="171"/>
        <v>C</v>
      </c>
      <c r="E633" s="177" t="d">
        <v>2021-03-05T18:14:59.99999979045242400</v>
      </c>
      <c r="F633" s="178" t="s">
        <v>81</v>
      </c>
      <c r="G633" s="179">
        <v>12265.45</v>
      </c>
      <c r="H633" s="179">
        <v>12418.78</v>
      </c>
      <c r="I633" s="180">
        <f t="shared" si="172"/>
        <v>153.32999999999993</v>
      </c>
      <c r="J633" s="179">
        <v>11345.46</v>
      </c>
      <c r="K633" s="177" t="d">
        <v>2021-03-05T19:21:59.99999969266355025</v>
      </c>
      <c r="L633" s="179">
        <v>12418.78</v>
      </c>
      <c r="M633" s="181">
        <f t="shared" si="173"/>
        <v>-153.33000000000001</v>
      </c>
      <c r="N633" s="182">
        <f t="shared" si="174"/>
        <v>-1</v>
      </c>
      <c r="O633" s="183">
        <f t="shared" si="175"/>
        <v>0</v>
      </c>
      <c r="P633" s="184">
        <f t="shared" si="176"/>
        <v>0</v>
      </c>
      <c r="Q633" s="184">
        <f t="shared" si="177"/>
        <v>-1</v>
      </c>
      <c r="R63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26707.5</v>
      </c>
      <c r="T63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27207.5</v>
      </c>
      <c r="U633" s="186">
        <f ca="1">IF(Tabla33610673[[#This Row],[Equity]]&lt;Tabla33610673[[#This Row],[Equity Peak]],(Tabla33610673[[#This Row],[Equity Peak]]-Tabla33610673[[#This Row],[Equity]])/Tabla33610673[[#This Row],[Equity Peak]],"")</f>
        <v>1.8377285674905815E-2</v>
      </c>
      <c r="V633" s="187">
        <f t="shared" si="178"/>
        <v>0</v>
      </c>
      <c r="W633" s="187">
        <f t="shared" si="179"/>
        <v>0</v>
      </c>
      <c r="X633" s="187">
        <f t="shared" si="180"/>
        <v>0</v>
      </c>
      <c r="Y633" s="187">
        <f t="shared" si="181"/>
        <v>0</v>
      </c>
      <c r="Z633" s="187">
        <f t="shared" si="182"/>
        <v>-1</v>
      </c>
      <c r="AA633" s="183">
        <f t="shared" si="183"/>
        <v>0</v>
      </c>
      <c r="AB633" s="187">
        <f t="shared" si="184"/>
        <v>0</v>
      </c>
      <c r="AC633" s="183">
        <f t="shared" si="185"/>
        <v>0</v>
      </c>
      <c r="AD633" s="188">
        <f t="shared" si="186"/>
        <v>4.6527777776645962E-2</v>
      </c>
      <c r="AE633" s="188">
        <f t="shared" si="187"/>
        <v>0</v>
      </c>
      <c r="AF633" s="188">
        <f t="shared" si="188"/>
        <v>4.6527777776645962E-2</v>
      </c>
      <c r="AG633" s="188">
        <f t="shared" si="189"/>
        <v>0</v>
      </c>
    </row>
    <row r="634" spans="2:33" ht="15" customHeight="1" x14ac:dyDescent="0.15">
      <c r="B634" s="174" t="s">
        <v>19</v>
      </c>
      <c r="C634" s="175" t="s">
        <v>15</v>
      </c>
      <c r="D634" s="176" t="str">
        <f t="shared" si="171"/>
        <v>C</v>
      </c>
      <c r="E634" s="177" t="d">
        <v>2021-03-05T16:30:00.000</v>
      </c>
      <c r="F634" s="178" t="s">
        <v>77</v>
      </c>
      <c r="G634" s="179">
        <v>1703.56</v>
      </c>
      <c r="H634" s="179">
        <v>1695.03</v>
      </c>
      <c r="I634" s="180">
        <f t="shared" si="172"/>
        <v>8.5299999999999727</v>
      </c>
      <c r="J634" s="179">
        <v>1744.52</v>
      </c>
      <c r="K634" s="177" t="d">
        <v>2021-03-05T16:50:59.99999970663339225</v>
      </c>
      <c r="L634" s="179">
        <v>1695.03</v>
      </c>
      <c r="M634" s="181">
        <f t="shared" si="173"/>
        <v>-8.5299999999999994</v>
      </c>
      <c r="N634" s="182">
        <f t="shared" si="174"/>
        <v>-1</v>
      </c>
      <c r="O634" s="183">
        <f t="shared" si="175"/>
        <v>0</v>
      </c>
      <c r="P634" s="184">
        <f t="shared" si="176"/>
        <v>0</v>
      </c>
      <c r="Q634" s="184">
        <f t="shared" si="177"/>
        <v>-1</v>
      </c>
      <c r="R63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26957.5</v>
      </c>
      <c r="T63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27207.5</v>
      </c>
      <c r="U634" s="186">
        <f ca="1">IF(Tabla33610673[[#This Row],[Equity]]&lt;Tabla33610673[[#This Row],[Equity Peak]],(Tabla33610673[[#This Row],[Equity Peak]]-Tabla33610673[[#This Row],[Equity]])/Tabla33610673[[#This Row],[Equity Peak]],"")</f>
        <v>9.1886428374529077E-3</v>
      </c>
      <c r="V634" s="187">
        <f t="shared" si="178"/>
        <v>0</v>
      </c>
      <c r="W634" s="187">
        <f t="shared" si="179"/>
        <v>0</v>
      </c>
      <c r="X634" s="187">
        <f t="shared" si="180"/>
        <v>-1</v>
      </c>
      <c r="Y634" s="187">
        <f t="shared" si="181"/>
        <v>0</v>
      </c>
      <c r="Z634" s="187">
        <f t="shared" si="182"/>
        <v>0</v>
      </c>
      <c r="AA634" s="183">
        <f t="shared" si="183"/>
        <v>0</v>
      </c>
      <c r="AB634" s="187">
        <f t="shared" si="184"/>
        <v>0</v>
      </c>
      <c r="AC634" s="183">
        <f t="shared" si="185"/>
        <v>0</v>
      </c>
      <c r="AD634" s="188">
        <f t="shared" si="186"/>
        <v>1.4583333329937886E-2</v>
      </c>
      <c r="AE634" s="188">
        <f t="shared" si="187"/>
        <v>0</v>
      </c>
      <c r="AF634" s="188">
        <f t="shared" si="188"/>
        <v>1.4583333329937886E-2</v>
      </c>
      <c r="AG634" s="188">
        <f t="shared" si="189"/>
        <v>0</v>
      </c>
    </row>
    <row r="635" spans="2:33" ht="15" customHeight="1" x14ac:dyDescent="0.15">
      <c r="B635" s="174" t="s">
        <v>7</v>
      </c>
      <c r="C635" s="175" t="s">
        <v>15</v>
      </c>
      <c r="D635" s="176" t="str">
        <f t="shared" si="171"/>
        <v>C</v>
      </c>
      <c r="E635" s="177" t="d">
        <v>2021-03-04T10:15:00.00000020954757600</v>
      </c>
      <c r="F635" s="178" t="s">
        <v>103</v>
      </c>
      <c r="G635" s="179">
        <v>107.175</v>
      </c>
      <c r="H635" s="179">
        <v>106.97799999999999</v>
      </c>
      <c r="I635" s="180">
        <f t="shared" si="172"/>
        <v>0.19700000000000273</v>
      </c>
      <c r="J635" s="179">
        <v>108.41200000000001</v>
      </c>
      <c r="K635" s="177" t="d">
        <v>2021-03-05T10:38:59.99999987427145575</v>
      </c>
      <c r="L635" s="179">
        <v>108.41200000000001</v>
      </c>
      <c r="M635" s="181">
        <f t="shared" si="173"/>
        <v>1.2370000000000001</v>
      </c>
      <c r="N635" s="182">
        <f t="shared" si="174"/>
        <v>6.28</v>
      </c>
      <c r="O635" s="183">
        <f t="shared" si="175"/>
        <v>0</v>
      </c>
      <c r="P635" s="184">
        <f t="shared" si="176"/>
        <v>6.28</v>
      </c>
      <c r="Q635" s="184">
        <f t="shared" si="177"/>
        <v>0</v>
      </c>
      <c r="R63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27207.5</v>
      </c>
      <c r="T63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27207.5</v>
      </c>
      <c r="U635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635" s="187">
        <f t="shared" si="178"/>
        <v>6.28</v>
      </c>
      <c r="W635" s="187">
        <f t="shared" si="179"/>
        <v>0</v>
      </c>
      <c r="X635" s="187">
        <f t="shared" si="180"/>
        <v>0</v>
      </c>
      <c r="Y635" s="187">
        <f t="shared" si="181"/>
        <v>0</v>
      </c>
      <c r="Z635" s="187">
        <f t="shared" si="182"/>
        <v>0</v>
      </c>
      <c r="AA635" s="183">
        <f t="shared" si="183"/>
        <v>0</v>
      </c>
      <c r="AB635" s="187">
        <f t="shared" si="184"/>
        <v>0</v>
      </c>
      <c r="AC635" s="183">
        <f t="shared" si="185"/>
        <v>0</v>
      </c>
      <c r="AD635" s="188">
        <f t="shared" si="186"/>
        <v>1.0166666666627862</v>
      </c>
      <c r="AE635" s="188">
        <f t="shared" si="187"/>
        <v>1.0166666666627862</v>
      </c>
      <c r="AF635" s="188">
        <f t="shared" si="188"/>
        <v>0</v>
      </c>
      <c r="AG635" s="188">
        <f t="shared" si="189"/>
        <v>0</v>
      </c>
    </row>
    <row r="636" spans="2:33" ht="15" customHeight="1" x14ac:dyDescent="0.15">
      <c r="B636" s="174" t="s">
        <v>5</v>
      </c>
      <c r="C636" s="175" t="s">
        <v>13</v>
      </c>
      <c r="D636" s="176" t="str">
        <f t="shared" si="171"/>
        <v>C</v>
      </c>
      <c r="E636" s="177" t="d">
        <v>2021-03-04T20:00:00.00000020954757600</v>
      </c>
      <c r="F636" s="178" t="s">
        <v>81</v>
      </c>
      <c r="G636" s="179">
        <v>12484.09</v>
      </c>
      <c r="H636" s="179">
        <v>12602.88</v>
      </c>
      <c r="I636" s="180">
        <f t="shared" si="172"/>
        <v>118.78999999999905</v>
      </c>
      <c r="J636" s="179">
        <v>11771.34</v>
      </c>
      <c r="K636" s="177" t="d">
        <v>2021-03-04T21:39:00.00000008381903175</v>
      </c>
      <c r="L636" s="179">
        <v>12492.41</v>
      </c>
      <c r="M636" s="181">
        <f t="shared" si="173"/>
        <v>-8.32</v>
      </c>
      <c r="N636" s="182">
        <f t="shared" si="174"/>
        <v>-7.0000000000000007E-2</v>
      </c>
      <c r="O636" s="183">
        <f t="shared" si="175"/>
        <v>0</v>
      </c>
      <c r="P636" s="184">
        <f t="shared" si="176"/>
        <v>0</v>
      </c>
      <c r="Q636" s="184">
        <f t="shared" si="177"/>
        <v>-7.0000000000000007E-2</v>
      </c>
      <c r="R63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25637.5</v>
      </c>
      <c r="T63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27000</v>
      </c>
      <c r="U636" s="186">
        <f ca="1">IF(Tabla33610673[[#This Row],[Equity]]&lt;Tabla33610673[[#This Row],[Equity Peak]],(Tabla33610673[[#This Row],[Equity Peak]]-Tabla33610673[[#This Row],[Equity]])/Tabla33610673[[#This Row],[Equity Peak]],"")</f>
        <v>5.0462962962962966E-2</v>
      </c>
      <c r="V636" s="187">
        <f t="shared" si="178"/>
        <v>0</v>
      </c>
      <c r="W636" s="187">
        <f t="shared" si="179"/>
        <v>0</v>
      </c>
      <c r="X636" s="187">
        <f t="shared" si="180"/>
        <v>0</v>
      </c>
      <c r="Y636" s="187">
        <f t="shared" si="181"/>
        <v>0</v>
      </c>
      <c r="Z636" s="187">
        <f t="shared" si="182"/>
        <v>-7.0000000000000007E-2</v>
      </c>
      <c r="AA636" s="183">
        <f t="shared" si="183"/>
        <v>0</v>
      </c>
      <c r="AB636" s="187">
        <f t="shared" si="184"/>
        <v>0</v>
      </c>
      <c r="AC636" s="183">
        <f t="shared" si="185"/>
        <v>0</v>
      </c>
      <c r="AD636" s="188">
        <f t="shared" si="186"/>
        <v>6.8749999998544808E-2</v>
      </c>
      <c r="AE636" s="188">
        <f t="shared" si="187"/>
        <v>0</v>
      </c>
      <c r="AF636" s="188">
        <f t="shared" si="188"/>
        <v>6.8749999998544808E-2</v>
      </c>
      <c r="AG636" s="188">
        <f t="shared" si="189"/>
        <v>0</v>
      </c>
    </row>
    <row r="637" spans="2:33" ht="15" customHeight="1" x14ac:dyDescent="0.15">
      <c r="B637" s="174" t="s">
        <v>7</v>
      </c>
      <c r="C637" s="175" t="s">
        <v>15</v>
      </c>
      <c r="D637" s="176" t="str">
        <f t="shared" si="171"/>
        <v>C</v>
      </c>
      <c r="E637" s="177" t="d">
        <v>2021-03-04T15:00:00.000</v>
      </c>
      <c r="F637" s="178" t="s">
        <v>102</v>
      </c>
      <c r="G637" s="179">
        <v>149.80199999999999</v>
      </c>
      <c r="H637" s="179">
        <v>149.428</v>
      </c>
      <c r="I637" s="180">
        <f t="shared" si="172"/>
        <v>0.37399999999999523</v>
      </c>
      <c r="J637" s="179">
        <v>151.797</v>
      </c>
      <c r="K637" s="177" t="d">
        <v>2021-03-04T19:54:00.00000029336660775</v>
      </c>
      <c r="L637" s="179">
        <v>150.14099999999999</v>
      </c>
      <c r="M637" s="181">
        <f t="shared" si="173"/>
        <v>0.33900000000000002</v>
      </c>
      <c r="N637" s="182">
        <f t="shared" si="174"/>
        <v>0.91</v>
      </c>
      <c r="O637" s="183">
        <f t="shared" si="175"/>
        <v>0</v>
      </c>
      <c r="P637" s="184">
        <f t="shared" si="176"/>
        <v>0.91</v>
      </c>
      <c r="Q637" s="184">
        <f t="shared" si="177"/>
        <v>0</v>
      </c>
      <c r="R63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25655</v>
      </c>
      <c r="T63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27000</v>
      </c>
      <c r="U637" s="186">
        <f ca="1">IF(Tabla33610673[[#This Row],[Equity]]&lt;Tabla33610673[[#This Row],[Equity Peak]],(Tabla33610673[[#This Row],[Equity Peak]]-Tabla33610673[[#This Row],[Equity]])/Tabla33610673[[#This Row],[Equity Peak]],"")</f>
        <v>4.9814814814814812E-2</v>
      </c>
      <c r="V637" s="187">
        <f t="shared" si="178"/>
        <v>0.91</v>
      </c>
      <c r="W637" s="187">
        <f t="shared" si="179"/>
        <v>0</v>
      </c>
      <c r="X637" s="187">
        <f t="shared" si="180"/>
        <v>0</v>
      </c>
      <c r="Y637" s="187">
        <f t="shared" si="181"/>
        <v>0</v>
      </c>
      <c r="Z637" s="187">
        <f t="shared" si="182"/>
        <v>0</v>
      </c>
      <c r="AA637" s="183">
        <f t="shared" si="183"/>
        <v>0</v>
      </c>
      <c r="AB637" s="187">
        <f t="shared" si="184"/>
        <v>0</v>
      </c>
      <c r="AC637" s="183">
        <f t="shared" si="185"/>
        <v>0</v>
      </c>
      <c r="AD637" s="188">
        <f t="shared" si="186"/>
        <v>0.20416666667006211</v>
      </c>
      <c r="AE637" s="188">
        <f t="shared" si="187"/>
        <v>0.20416666667006211</v>
      </c>
      <c r="AF637" s="188">
        <f t="shared" si="188"/>
        <v>0</v>
      </c>
      <c r="AG637" s="188">
        <f t="shared" si="189"/>
        <v>0</v>
      </c>
    </row>
    <row r="638" spans="2:33" ht="15" customHeight="1" x14ac:dyDescent="0.15">
      <c r="B638" s="174" t="s">
        <v>19</v>
      </c>
      <c r="C638" s="175" t="s">
        <v>15</v>
      </c>
      <c r="D638" s="176" t="str">
        <f t="shared" si="171"/>
        <v>C</v>
      </c>
      <c r="E638" s="177" t="d">
        <v>2021-03-04T09:14:59.99999979045242400</v>
      </c>
      <c r="F638" s="178" t="s">
        <v>77</v>
      </c>
      <c r="G638" s="179">
        <v>1720.99</v>
      </c>
      <c r="H638" s="179">
        <v>1712.48</v>
      </c>
      <c r="I638" s="180">
        <f t="shared" si="172"/>
        <v>8.5099999999999909</v>
      </c>
      <c r="J638" s="179">
        <v>1761.83</v>
      </c>
      <c r="K638" s="177" t="d">
        <v>2021-03-04T10:54:00.00000029336660775</v>
      </c>
      <c r="L638" s="179">
        <v>1712.48</v>
      </c>
      <c r="M638" s="181">
        <f t="shared" si="173"/>
        <v>-8.51</v>
      </c>
      <c r="N638" s="182">
        <f t="shared" si="174"/>
        <v>-1</v>
      </c>
      <c r="O638" s="183">
        <f t="shared" si="175"/>
        <v>0</v>
      </c>
      <c r="P638" s="184">
        <f t="shared" si="176"/>
        <v>0</v>
      </c>
      <c r="Q638" s="184">
        <f t="shared" si="177"/>
        <v>-1</v>
      </c>
      <c r="R63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25427.5</v>
      </c>
      <c r="T63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27000</v>
      </c>
      <c r="U638" s="186">
        <f ca="1">IF(Tabla33610673[[#This Row],[Equity]]&lt;Tabla33610673[[#This Row],[Equity Peak]],(Tabla33610673[[#This Row],[Equity Peak]]-Tabla33610673[[#This Row],[Equity]])/Tabla33610673[[#This Row],[Equity Peak]],"")</f>
        <v>5.8240740740740739E-2</v>
      </c>
      <c r="V638" s="187">
        <f t="shared" si="178"/>
        <v>0</v>
      </c>
      <c r="W638" s="187">
        <f t="shared" si="179"/>
        <v>0</v>
      </c>
      <c r="X638" s="187">
        <f t="shared" si="180"/>
        <v>-1</v>
      </c>
      <c r="Y638" s="187">
        <f t="shared" si="181"/>
        <v>0</v>
      </c>
      <c r="Z638" s="187">
        <f t="shared" si="182"/>
        <v>0</v>
      </c>
      <c r="AA638" s="183">
        <f t="shared" si="183"/>
        <v>0</v>
      </c>
      <c r="AB638" s="187">
        <f t="shared" si="184"/>
        <v>0</v>
      </c>
      <c r="AC638" s="183">
        <f t="shared" si="185"/>
        <v>0</v>
      </c>
      <c r="AD638" s="188">
        <f t="shared" si="186"/>
        <v>6.8750000005820766E-2</v>
      </c>
      <c r="AE638" s="188">
        <f t="shared" si="187"/>
        <v>0</v>
      </c>
      <c r="AF638" s="188">
        <f t="shared" si="188"/>
        <v>6.8750000005820766E-2</v>
      </c>
      <c r="AG638" s="188">
        <f t="shared" si="189"/>
        <v>0</v>
      </c>
    </row>
    <row r="639" spans="2:33" ht="15" customHeight="1" x14ac:dyDescent="0.15">
      <c r="B639" s="174" t="s">
        <v>5</v>
      </c>
      <c r="C639" s="175" t="s">
        <v>13</v>
      </c>
      <c r="D639" s="176" t="str">
        <f t="shared" si="171"/>
        <v>C</v>
      </c>
      <c r="E639" s="177" t="d">
        <v>2021-03-03T15:45:00.000</v>
      </c>
      <c r="F639" s="178" t="s">
        <v>82</v>
      </c>
      <c r="G639" s="179">
        <v>3861.26</v>
      </c>
      <c r="H639" s="179">
        <v>3891.42</v>
      </c>
      <c r="I639" s="180">
        <f t="shared" si="172"/>
        <v>30.159999999999854</v>
      </c>
      <c r="J639" s="179">
        <v>3665.22</v>
      </c>
      <c r="K639" s="177" t="d">
        <v>2021-03-04T10:05:59.99999970663339225</v>
      </c>
      <c r="L639" s="179">
        <v>3816.3</v>
      </c>
      <c r="M639" s="181">
        <f t="shared" si="173"/>
        <v>44.96</v>
      </c>
      <c r="N639" s="182">
        <f t="shared" si="174"/>
        <v>1.49</v>
      </c>
      <c r="O639" s="183">
        <f t="shared" si="175"/>
        <v>0</v>
      </c>
      <c r="P639" s="184">
        <f t="shared" si="176"/>
        <v>1.49</v>
      </c>
      <c r="Q639" s="184">
        <f t="shared" si="177"/>
        <v>0</v>
      </c>
      <c r="R63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25677.5</v>
      </c>
      <c r="T63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27000</v>
      </c>
      <c r="U639" s="186">
        <f ca="1">IF(Tabla33610673[[#This Row],[Equity]]&lt;Tabla33610673[[#This Row],[Equity Peak]],(Tabla33610673[[#This Row],[Equity Peak]]-Tabla33610673[[#This Row],[Equity]])/Tabla33610673[[#This Row],[Equity Peak]],"")</f>
        <v>4.898148148148148E-2</v>
      </c>
      <c r="V639" s="187">
        <f t="shared" si="178"/>
        <v>0</v>
      </c>
      <c r="W639" s="187">
        <f t="shared" si="179"/>
        <v>0</v>
      </c>
      <c r="X639" s="187">
        <f t="shared" si="180"/>
        <v>0</v>
      </c>
      <c r="Y639" s="187">
        <f t="shared" si="181"/>
        <v>0</v>
      </c>
      <c r="Z639" s="187">
        <f t="shared" si="182"/>
        <v>1.49</v>
      </c>
      <c r="AA639" s="183">
        <f t="shared" si="183"/>
        <v>0</v>
      </c>
      <c r="AB639" s="187">
        <f t="shared" si="184"/>
        <v>0</v>
      </c>
      <c r="AC639" s="183">
        <f t="shared" si="185"/>
        <v>0</v>
      </c>
      <c r="AD639" s="188">
        <f t="shared" si="186"/>
        <v>0.76458333332993789</v>
      </c>
      <c r="AE639" s="188">
        <f t="shared" si="187"/>
        <v>0.76458333332993789</v>
      </c>
      <c r="AF639" s="188">
        <f t="shared" si="188"/>
        <v>0</v>
      </c>
      <c r="AG639" s="188">
        <f t="shared" si="189"/>
        <v>0</v>
      </c>
    </row>
    <row r="640" spans="2:33" ht="15" customHeight="1" x14ac:dyDescent="0.15">
      <c r="B640" s="174" t="s">
        <v>7</v>
      </c>
      <c r="C640" s="175" t="s">
        <v>15</v>
      </c>
      <c r="D640" s="176" t="str">
        <f t="shared" si="171"/>
        <v>C</v>
      </c>
      <c r="E640" s="177" t="d">
        <v>2021-03-01T20:00:00.00000020954757600</v>
      </c>
      <c r="F640" s="178" t="s">
        <v>103</v>
      </c>
      <c r="G640" s="179">
        <v>106.783</v>
      </c>
      <c r="H640" s="179">
        <v>106.557</v>
      </c>
      <c r="I640" s="180">
        <f t="shared" si="172"/>
        <v>0.22599999999999909</v>
      </c>
      <c r="J640" s="179">
        <v>108.20099999999999</v>
      </c>
      <c r="K640" s="177" t="d">
        <v>2021-03-03T18:08:59.99999987427145575</v>
      </c>
      <c r="L640" s="179">
        <v>106.875</v>
      </c>
      <c r="M640" s="181">
        <f t="shared" si="173"/>
        <v>9.1999999999999998E-2</v>
      </c>
      <c r="N640" s="182">
        <f t="shared" si="174"/>
        <v>0.41</v>
      </c>
      <c r="O640" s="183">
        <f t="shared" si="175"/>
        <v>0</v>
      </c>
      <c r="P640" s="184">
        <f t="shared" si="176"/>
        <v>0.41</v>
      </c>
      <c r="Q640" s="184">
        <f t="shared" si="177"/>
        <v>0</v>
      </c>
      <c r="R64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25305</v>
      </c>
      <c r="T64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27000</v>
      </c>
      <c r="U640" s="186">
        <f ca="1">IF(Tabla33610673[[#This Row],[Equity]]&lt;Tabla33610673[[#This Row],[Equity Peak]],(Tabla33610673[[#This Row],[Equity Peak]]-Tabla33610673[[#This Row],[Equity]])/Tabla33610673[[#This Row],[Equity Peak]],"")</f>
        <v>6.277777777777778E-2</v>
      </c>
      <c r="V640" s="187">
        <f t="shared" si="178"/>
        <v>0.41</v>
      </c>
      <c r="W640" s="187">
        <f t="shared" si="179"/>
        <v>0</v>
      </c>
      <c r="X640" s="187">
        <f t="shared" si="180"/>
        <v>0</v>
      </c>
      <c r="Y640" s="187">
        <f t="shared" si="181"/>
        <v>0</v>
      </c>
      <c r="Z640" s="187">
        <f t="shared" si="182"/>
        <v>0</v>
      </c>
      <c r="AA640" s="183">
        <f t="shared" si="183"/>
        <v>0</v>
      </c>
      <c r="AB640" s="187">
        <f t="shared" si="184"/>
        <v>0</v>
      </c>
      <c r="AC640" s="183">
        <f t="shared" si="185"/>
        <v>0</v>
      </c>
      <c r="AD640" s="188">
        <f t="shared" si="186"/>
        <v>1.9229166666627862</v>
      </c>
      <c r="AE640" s="188">
        <f t="shared" si="187"/>
        <v>1.9229166666627862</v>
      </c>
      <c r="AF640" s="188">
        <f t="shared" si="188"/>
        <v>0</v>
      </c>
      <c r="AG640" s="188">
        <f t="shared" si="189"/>
        <v>0</v>
      </c>
    </row>
    <row r="641" spans="2:33" ht="15" customHeight="1" x14ac:dyDescent="0.15">
      <c r="B641" s="174" t="s">
        <v>5</v>
      </c>
      <c r="C641" s="175" t="s">
        <v>13</v>
      </c>
      <c r="D641" s="176" t="str">
        <f t="shared" si="171"/>
        <v>C</v>
      </c>
      <c r="E641" s="177" t="d">
        <v>2021-03-03T15:45:00.000</v>
      </c>
      <c r="F641" s="178" t="s">
        <v>81</v>
      </c>
      <c r="G641" s="179">
        <v>13001.55</v>
      </c>
      <c r="H641" s="179">
        <v>13082.95</v>
      </c>
      <c r="I641" s="180">
        <f t="shared" si="172"/>
        <v>81.400000000001455</v>
      </c>
      <c r="J641" s="179">
        <v>12513.18</v>
      </c>
      <c r="K641" s="177" t="d">
        <v>2021-03-03T18:05:59.99999991618096825</v>
      </c>
      <c r="L641" s="179">
        <v>12928.3</v>
      </c>
      <c r="M641" s="181">
        <f t="shared" si="173"/>
        <v>73.25</v>
      </c>
      <c r="N641" s="182">
        <f t="shared" si="174"/>
        <v>0.9</v>
      </c>
      <c r="O641" s="183">
        <f t="shared" si="175"/>
        <v>0</v>
      </c>
      <c r="P641" s="184">
        <f t="shared" si="176"/>
        <v>0.9</v>
      </c>
      <c r="Q641" s="184">
        <f t="shared" si="177"/>
        <v>0</v>
      </c>
      <c r="R64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25202.5</v>
      </c>
      <c r="T64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27000</v>
      </c>
      <c r="U641" s="186">
        <f ca="1">IF(Tabla33610673[[#This Row],[Equity]]&lt;Tabla33610673[[#This Row],[Equity Peak]],(Tabla33610673[[#This Row],[Equity Peak]]-Tabla33610673[[#This Row],[Equity]])/Tabla33610673[[#This Row],[Equity Peak]],"")</f>
        <v>6.6574074074074077E-2</v>
      </c>
      <c r="V641" s="187">
        <f t="shared" si="178"/>
        <v>0</v>
      </c>
      <c r="W641" s="187">
        <f t="shared" si="179"/>
        <v>0</v>
      </c>
      <c r="X641" s="187">
        <f t="shared" si="180"/>
        <v>0</v>
      </c>
      <c r="Y641" s="187">
        <f t="shared" si="181"/>
        <v>0</v>
      </c>
      <c r="Z641" s="187">
        <f t="shared" si="182"/>
        <v>0.9</v>
      </c>
      <c r="AA641" s="183">
        <f t="shared" si="183"/>
        <v>0</v>
      </c>
      <c r="AB641" s="187">
        <f t="shared" si="184"/>
        <v>0</v>
      </c>
      <c r="AC641" s="183">
        <f t="shared" si="185"/>
        <v>0</v>
      </c>
      <c r="AD641" s="188">
        <f t="shared" si="186"/>
        <v>9.7916666665696539E-2</v>
      </c>
      <c r="AE641" s="188">
        <f t="shared" si="187"/>
        <v>9.7916666665696539E-2</v>
      </c>
      <c r="AF641" s="188">
        <f t="shared" si="188"/>
        <v>0</v>
      </c>
      <c r="AG641" s="188">
        <f t="shared" si="189"/>
        <v>0</v>
      </c>
    </row>
    <row r="642" spans="2:33" ht="15" customHeight="1" x14ac:dyDescent="0.15">
      <c r="B642" s="174" t="s">
        <v>5</v>
      </c>
      <c r="C642" s="175" t="s">
        <v>15</v>
      </c>
      <c r="D642" s="176" t="str">
        <f t="shared" si="171"/>
        <v>C</v>
      </c>
      <c r="E642" s="177" t="d">
        <v>2021-03-02T13:30:00.000</v>
      </c>
      <c r="F642" s="178" t="s">
        <v>80</v>
      </c>
      <c r="G642" s="179">
        <v>14088.86</v>
      </c>
      <c r="H642" s="179">
        <v>14018.59</v>
      </c>
      <c r="I642" s="180">
        <f t="shared" si="172"/>
        <v>70.270000000000437</v>
      </c>
      <c r="J642" s="179">
        <v>14604.14</v>
      </c>
      <c r="K642" s="177" t="d">
        <v>2021-03-03T15:30:59.99999977648258200</v>
      </c>
      <c r="L642" s="179">
        <v>14091.98</v>
      </c>
      <c r="M642" s="181">
        <f t="shared" si="173"/>
        <v>3.12</v>
      </c>
      <c r="N642" s="182">
        <f t="shared" si="174"/>
        <v>0.04</v>
      </c>
      <c r="O642" s="183">
        <f t="shared" si="175"/>
        <v>0</v>
      </c>
      <c r="P642" s="184">
        <f t="shared" si="176"/>
        <v>0.04</v>
      </c>
      <c r="Q642" s="184">
        <f t="shared" si="177"/>
        <v>0</v>
      </c>
      <c r="R64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24977.5</v>
      </c>
      <c r="T64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27000</v>
      </c>
      <c r="U642" s="186">
        <f ca="1">IF(Tabla33610673[[#This Row],[Equity]]&lt;Tabla33610673[[#This Row],[Equity Peak]],(Tabla33610673[[#This Row],[Equity Peak]]-Tabla33610673[[#This Row],[Equity]])/Tabla33610673[[#This Row],[Equity Peak]],"")</f>
        <v>7.4907407407407409E-2</v>
      </c>
      <c r="V642" s="187">
        <f t="shared" si="178"/>
        <v>0</v>
      </c>
      <c r="W642" s="187">
        <f t="shared" si="179"/>
        <v>0</v>
      </c>
      <c r="X642" s="187">
        <f t="shared" si="180"/>
        <v>0</v>
      </c>
      <c r="Y642" s="187">
        <f t="shared" si="181"/>
        <v>0</v>
      </c>
      <c r="Z642" s="187">
        <f t="shared" si="182"/>
        <v>0.04</v>
      </c>
      <c r="AA642" s="183">
        <f t="shared" si="183"/>
        <v>0</v>
      </c>
      <c r="AB642" s="187">
        <f t="shared" si="184"/>
        <v>0</v>
      </c>
      <c r="AC642" s="183">
        <f t="shared" si="185"/>
        <v>0</v>
      </c>
      <c r="AD642" s="188">
        <f t="shared" si="186"/>
        <v>1.0840277777751908</v>
      </c>
      <c r="AE642" s="188">
        <f t="shared" si="187"/>
        <v>1.0840277777751908</v>
      </c>
      <c r="AF642" s="188">
        <f t="shared" si="188"/>
        <v>0</v>
      </c>
      <c r="AG642" s="188">
        <f t="shared" si="189"/>
        <v>0</v>
      </c>
    </row>
    <row r="643" spans="2:33" ht="15" customHeight="1" x14ac:dyDescent="0.15">
      <c r="B643" s="174" t="s">
        <v>7</v>
      </c>
      <c r="C643" s="175" t="s">
        <v>15</v>
      </c>
      <c r="D643" s="176" t="str">
        <f t="shared" si="171"/>
        <v>C</v>
      </c>
      <c r="E643" s="177" t="d">
        <v>2021-03-03T09:30:00.00000020954757600</v>
      </c>
      <c r="F643" s="178" t="s">
        <v>102</v>
      </c>
      <c r="G643" s="179">
        <v>149.38300000000001</v>
      </c>
      <c r="H643" s="179">
        <v>149.04300000000001</v>
      </c>
      <c r="I643" s="180">
        <f t="shared" si="172"/>
        <v>0.34000000000000341</v>
      </c>
      <c r="J643" s="179">
        <v>151.19499999999999</v>
      </c>
      <c r="K643" s="177" t="d">
        <v>2021-03-03T15:07:00.00000011175870900</v>
      </c>
      <c r="L643" s="179">
        <v>149.16300000000001</v>
      </c>
      <c r="M643" s="181">
        <f t="shared" si="173"/>
        <v>-0.22</v>
      </c>
      <c r="N643" s="182">
        <f t="shared" si="174"/>
        <v>-0.65</v>
      </c>
      <c r="O643" s="183">
        <f t="shared" si="175"/>
        <v>0</v>
      </c>
      <c r="P643" s="184">
        <f t="shared" si="176"/>
        <v>0</v>
      </c>
      <c r="Q643" s="184">
        <f t="shared" si="177"/>
        <v>-0.65</v>
      </c>
      <c r="R64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24967.5</v>
      </c>
      <c r="T64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27000</v>
      </c>
      <c r="U643" s="186">
        <f ca="1">IF(Tabla33610673[[#This Row],[Equity]]&lt;Tabla33610673[[#This Row],[Equity Peak]],(Tabla33610673[[#This Row],[Equity Peak]]-Tabla33610673[[#This Row],[Equity]])/Tabla33610673[[#This Row],[Equity Peak]],"")</f>
        <v>7.5277777777777777E-2</v>
      </c>
      <c r="V643" s="187">
        <f t="shared" si="178"/>
        <v>-0.65</v>
      </c>
      <c r="W643" s="187">
        <f t="shared" si="179"/>
        <v>0</v>
      </c>
      <c r="X643" s="187">
        <f t="shared" si="180"/>
        <v>0</v>
      </c>
      <c r="Y643" s="187">
        <f t="shared" si="181"/>
        <v>0</v>
      </c>
      <c r="Z643" s="187">
        <f t="shared" si="182"/>
        <v>0</v>
      </c>
      <c r="AA643" s="183">
        <f t="shared" si="183"/>
        <v>0</v>
      </c>
      <c r="AB643" s="187">
        <f t="shared" si="184"/>
        <v>0</v>
      </c>
      <c r="AC643" s="183">
        <f t="shared" si="185"/>
        <v>0</v>
      </c>
      <c r="AD643" s="188">
        <f t="shared" si="186"/>
        <v>0.23402777777664596</v>
      </c>
      <c r="AE643" s="188">
        <f t="shared" si="187"/>
        <v>0</v>
      </c>
      <c r="AF643" s="188">
        <f t="shared" si="188"/>
        <v>0.23402777777664596</v>
      </c>
      <c r="AG643" s="188">
        <f t="shared" si="189"/>
        <v>0</v>
      </c>
    </row>
    <row r="644" spans="2:33" ht="15" customHeight="1" x14ac:dyDescent="0.15">
      <c r="B644" s="174" t="s">
        <v>19</v>
      </c>
      <c r="C644" s="175" t="s">
        <v>15</v>
      </c>
      <c r="D644" s="176" t="str">
        <f t="shared" si="171"/>
        <v>C</v>
      </c>
      <c r="E644" s="177" t="d">
        <v>2021-03-03T01:30:00.000</v>
      </c>
      <c r="F644" s="178" t="s">
        <v>77</v>
      </c>
      <c r="G644" s="179">
        <v>1739.45</v>
      </c>
      <c r="H644" s="179">
        <v>1731.17</v>
      </c>
      <c r="I644" s="180">
        <f t="shared" si="172"/>
        <v>8.2799999999999727</v>
      </c>
      <c r="J644" s="179">
        <v>1779.21</v>
      </c>
      <c r="K644" s="177" t="d">
        <v>2021-03-03T03:30:00.00000020954757600</v>
      </c>
      <c r="L644" s="179">
        <v>1731.17</v>
      </c>
      <c r="M644" s="181">
        <f t="shared" si="173"/>
        <v>-8.2799999999999994</v>
      </c>
      <c r="N644" s="182">
        <f t="shared" si="174"/>
        <v>-1</v>
      </c>
      <c r="O644" s="183">
        <f t="shared" si="175"/>
        <v>0</v>
      </c>
      <c r="P644" s="184">
        <f t="shared" si="176"/>
        <v>0</v>
      </c>
      <c r="Q644" s="184">
        <f t="shared" si="177"/>
        <v>-1</v>
      </c>
      <c r="R64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25130</v>
      </c>
      <c r="T64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27000</v>
      </c>
      <c r="U644" s="186">
        <f ca="1">IF(Tabla33610673[[#This Row],[Equity]]&lt;Tabla33610673[[#This Row],[Equity Peak]],(Tabla33610673[[#This Row],[Equity Peak]]-Tabla33610673[[#This Row],[Equity]])/Tabla33610673[[#This Row],[Equity Peak]],"")</f>
        <v>6.9259259259259257E-2</v>
      </c>
      <c r="V644" s="187">
        <f t="shared" si="178"/>
        <v>0</v>
      </c>
      <c r="W644" s="187">
        <f t="shared" si="179"/>
        <v>0</v>
      </c>
      <c r="X644" s="187">
        <f t="shared" si="180"/>
        <v>-1</v>
      </c>
      <c r="Y644" s="187">
        <f t="shared" si="181"/>
        <v>0</v>
      </c>
      <c r="Z644" s="187">
        <f t="shared" si="182"/>
        <v>0</v>
      </c>
      <c r="AA644" s="183">
        <f t="shared" si="183"/>
        <v>0</v>
      </c>
      <c r="AB644" s="187">
        <f t="shared" si="184"/>
        <v>0</v>
      </c>
      <c r="AC644" s="183">
        <f t="shared" si="185"/>
        <v>0</v>
      </c>
      <c r="AD644" s="188">
        <f t="shared" si="186"/>
        <v>8.3333333335758653E-2</v>
      </c>
      <c r="AE644" s="188">
        <f t="shared" si="187"/>
        <v>0</v>
      </c>
      <c r="AF644" s="188">
        <f t="shared" si="188"/>
        <v>8.3333333335758653E-2</v>
      </c>
      <c r="AG644" s="188">
        <f t="shared" si="189"/>
        <v>0</v>
      </c>
    </row>
    <row r="645" spans="2:33" ht="15" customHeight="1" x14ac:dyDescent="0.15">
      <c r="B645" s="174" t="s">
        <v>19</v>
      </c>
      <c r="C645" s="175" t="s">
        <v>15</v>
      </c>
      <c r="D645" s="176" t="str">
        <f t="shared" si="171"/>
        <v>C</v>
      </c>
      <c r="E645" s="177" t="d">
        <v>2021-03-02T12:45:00.000</v>
      </c>
      <c r="F645" s="178" t="s">
        <v>77</v>
      </c>
      <c r="G645" s="179">
        <v>1730.16</v>
      </c>
      <c r="H645" s="179">
        <v>1722.03</v>
      </c>
      <c r="I645" s="180">
        <f t="shared" si="172"/>
        <v>8.1300000000001091</v>
      </c>
      <c r="J645" s="179">
        <v>1769.17</v>
      </c>
      <c r="K645" s="177" t="d">
        <v>2021-03-02T16:38:59.99999987427145575</v>
      </c>
      <c r="L645" s="179">
        <v>1722.03</v>
      </c>
      <c r="M645" s="181">
        <f t="shared" si="173"/>
        <v>-8.1300000000000008</v>
      </c>
      <c r="N645" s="182">
        <f t="shared" si="174"/>
        <v>-1</v>
      </c>
      <c r="O645" s="183">
        <f t="shared" si="175"/>
        <v>0</v>
      </c>
      <c r="P645" s="184">
        <f t="shared" si="176"/>
        <v>0</v>
      </c>
      <c r="Q645" s="184">
        <f t="shared" si="177"/>
        <v>-1</v>
      </c>
      <c r="R64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25380</v>
      </c>
      <c r="T64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27000</v>
      </c>
      <c r="U645" s="186">
        <f ca="1">IF(Tabla33610673[[#This Row],[Equity]]&lt;Tabla33610673[[#This Row],[Equity Peak]],(Tabla33610673[[#This Row],[Equity Peak]]-Tabla33610673[[#This Row],[Equity]])/Tabla33610673[[#This Row],[Equity Peak]],"")</f>
        <v>0.06</v>
      </c>
      <c r="V645" s="187">
        <f t="shared" si="178"/>
        <v>0</v>
      </c>
      <c r="W645" s="187">
        <f t="shared" si="179"/>
        <v>0</v>
      </c>
      <c r="X645" s="187">
        <f t="shared" si="180"/>
        <v>-1</v>
      </c>
      <c r="Y645" s="187">
        <f t="shared" si="181"/>
        <v>0</v>
      </c>
      <c r="Z645" s="187">
        <f t="shared" si="182"/>
        <v>0</v>
      </c>
      <c r="AA645" s="183">
        <f t="shared" si="183"/>
        <v>0</v>
      </c>
      <c r="AB645" s="187">
        <f t="shared" si="184"/>
        <v>0</v>
      </c>
      <c r="AC645" s="183">
        <f t="shared" si="185"/>
        <v>0</v>
      </c>
      <c r="AD645" s="188">
        <f t="shared" si="186"/>
        <v>0.16249999999854481</v>
      </c>
      <c r="AE645" s="188">
        <f t="shared" si="187"/>
        <v>0</v>
      </c>
      <c r="AF645" s="188">
        <f t="shared" si="188"/>
        <v>0.16249999999854481</v>
      </c>
      <c r="AG645" s="188">
        <f t="shared" si="189"/>
        <v>0</v>
      </c>
    </row>
    <row r="646" spans="2:33" ht="15" customHeight="1" x14ac:dyDescent="0.15">
      <c r="B646" s="174" t="s">
        <v>5</v>
      </c>
      <c r="C646" s="175" t="s">
        <v>13</v>
      </c>
      <c r="D646" s="176" t="str">
        <f t="shared" si="171"/>
        <v>C</v>
      </c>
      <c r="E646" s="177" t="d">
        <v>2021-03-02T11:00:00.00000020954757600</v>
      </c>
      <c r="F646" s="178" t="s">
        <v>82</v>
      </c>
      <c r="G646" s="179">
        <v>3873.39</v>
      </c>
      <c r="H646" s="179">
        <v>3905.14</v>
      </c>
      <c r="I646" s="180">
        <f t="shared" si="172"/>
        <v>31.75</v>
      </c>
      <c r="J646" s="179">
        <v>3667.01</v>
      </c>
      <c r="K646" s="177" t="d">
        <v>2021-03-02T16:21:59.99999969266355025</v>
      </c>
      <c r="L646" s="179">
        <v>3903.82</v>
      </c>
      <c r="M646" s="181">
        <f t="shared" si="173"/>
        <v>-30.43</v>
      </c>
      <c r="N646" s="182">
        <f t="shared" si="174"/>
        <v>-0.96</v>
      </c>
      <c r="O646" s="183">
        <f t="shared" si="175"/>
        <v>0</v>
      </c>
      <c r="P646" s="184">
        <f t="shared" si="176"/>
        <v>0</v>
      </c>
      <c r="Q646" s="184">
        <f t="shared" si="177"/>
        <v>-0.96</v>
      </c>
      <c r="R64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25630</v>
      </c>
      <c r="T64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27000</v>
      </c>
      <c r="U646" s="186">
        <f ca="1">IF(Tabla33610673[[#This Row],[Equity]]&lt;Tabla33610673[[#This Row],[Equity Peak]],(Tabla33610673[[#This Row],[Equity Peak]]-Tabla33610673[[#This Row],[Equity]])/Tabla33610673[[#This Row],[Equity Peak]],"")</f>
        <v>5.0740740740740739E-2</v>
      </c>
      <c r="V646" s="187">
        <f t="shared" si="178"/>
        <v>0</v>
      </c>
      <c r="W646" s="187">
        <f t="shared" si="179"/>
        <v>0</v>
      </c>
      <c r="X646" s="187">
        <f t="shared" si="180"/>
        <v>0</v>
      </c>
      <c r="Y646" s="187">
        <f t="shared" si="181"/>
        <v>0</v>
      </c>
      <c r="Z646" s="187">
        <f t="shared" si="182"/>
        <v>-0.96</v>
      </c>
      <c r="AA646" s="183">
        <f t="shared" si="183"/>
        <v>0</v>
      </c>
      <c r="AB646" s="187">
        <f t="shared" si="184"/>
        <v>0</v>
      </c>
      <c r="AC646" s="183">
        <f t="shared" si="185"/>
        <v>0</v>
      </c>
      <c r="AD646" s="188">
        <f t="shared" si="186"/>
        <v>0.22361111110512866</v>
      </c>
      <c r="AE646" s="188">
        <f t="shared" si="187"/>
        <v>0</v>
      </c>
      <c r="AF646" s="188">
        <f t="shared" si="188"/>
        <v>0.22361111110512866</v>
      </c>
      <c r="AG646" s="188">
        <f t="shared" si="189"/>
        <v>0</v>
      </c>
    </row>
    <row r="647" spans="2:33" ht="15" customHeight="1" x14ac:dyDescent="0.15">
      <c r="B647" s="174" t="s">
        <v>5</v>
      </c>
      <c r="C647" s="175" t="s">
        <v>15</v>
      </c>
      <c r="D647" s="176" t="str">
        <f t="shared" si="171"/>
        <v>C</v>
      </c>
      <c r="E647" s="177" t="d">
        <v>2021-03-01T17:00:00.00000020954757600</v>
      </c>
      <c r="F647" s="178" t="s">
        <v>82</v>
      </c>
      <c r="G647" s="179">
        <v>3874.6</v>
      </c>
      <c r="H647" s="179">
        <v>3842.07</v>
      </c>
      <c r="I647" s="180">
        <f t="shared" si="172"/>
        <v>32.529999999999745</v>
      </c>
      <c r="J647" s="179">
        <v>4086.07</v>
      </c>
      <c r="K647" s="177" t="d">
        <v>2021-03-02T07:24:00.00000008381903175</v>
      </c>
      <c r="L647" s="179">
        <v>3879.93</v>
      </c>
      <c r="M647" s="181">
        <f t="shared" si="173"/>
        <v>5.33</v>
      </c>
      <c r="N647" s="182">
        <f t="shared" si="174"/>
        <v>0.16</v>
      </c>
      <c r="O647" s="183">
        <f t="shared" si="175"/>
        <v>0</v>
      </c>
      <c r="P647" s="184">
        <f t="shared" si="176"/>
        <v>0.16</v>
      </c>
      <c r="Q647" s="184">
        <f t="shared" si="177"/>
        <v>0</v>
      </c>
      <c r="R64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25870</v>
      </c>
      <c r="T64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27000</v>
      </c>
      <c r="U647" s="186">
        <f ca="1">IF(Tabla33610673[[#This Row],[Equity]]&lt;Tabla33610673[[#This Row],[Equity Peak]],(Tabla33610673[[#This Row],[Equity Peak]]-Tabla33610673[[#This Row],[Equity]])/Tabla33610673[[#This Row],[Equity Peak]],"")</f>
        <v>4.1851851851851848E-2</v>
      </c>
      <c r="V647" s="187">
        <f t="shared" si="178"/>
        <v>0</v>
      </c>
      <c r="W647" s="187">
        <f t="shared" si="179"/>
        <v>0</v>
      </c>
      <c r="X647" s="187">
        <f t="shared" si="180"/>
        <v>0</v>
      </c>
      <c r="Y647" s="187">
        <f t="shared" si="181"/>
        <v>0</v>
      </c>
      <c r="Z647" s="187">
        <f t="shared" si="182"/>
        <v>0.16</v>
      </c>
      <c r="AA647" s="183">
        <f t="shared" si="183"/>
        <v>0</v>
      </c>
      <c r="AB647" s="187">
        <f t="shared" si="184"/>
        <v>0</v>
      </c>
      <c r="AC647" s="183">
        <f t="shared" si="185"/>
        <v>0</v>
      </c>
      <c r="AD647" s="188">
        <f t="shared" si="186"/>
        <v>0.59999999999854481</v>
      </c>
      <c r="AE647" s="188">
        <f t="shared" si="187"/>
        <v>0.59999999999854481</v>
      </c>
      <c r="AF647" s="188">
        <f t="shared" si="188"/>
        <v>0</v>
      </c>
      <c r="AG647" s="188">
        <f t="shared" si="189"/>
        <v>0</v>
      </c>
    </row>
    <row r="648" spans="2:33" ht="15" customHeight="1" x14ac:dyDescent="0.15">
      <c r="B648" s="174" t="s">
        <v>7</v>
      </c>
      <c r="C648" s="175" t="s">
        <v>15</v>
      </c>
      <c r="D648" s="176" t="str">
        <f t="shared" si="171"/>
        <v>C</v>
      </c>
      <c r="E648" s="177" t="d">
        <v>2021-03-01T15:00:00.000</v>
      </c>
      <c r="F648" s="178" t="s">
        <v>103</v>
      </c>
      <c r="G648" s="179">
        <v>106.758</v>
      </c>
      <c r="H648" s="179">
        <v>106.536</v>
      </c>
      <c r="I648" s="180">
        <f t="shared" si="172"/>
        <v>0.2219999999999942</v>
      </c>
      <c r="J648" s="179">
        <v>108.154</v>
      </c>
      <c r="K648" s="177" t="d">
        <v>2021-03-01T17:16:00.00000019557774075</v>
      </c>
      <c r="L648" s="179">
        <v>106.536</v>
      </c>
      <c r="M648" s="181">
        <f t="shared" si="173"/>
        <v>-0.222</v>
      </c>
      <c r="N648" s="182">
        <f t="shared" si="174"/>
        <v>-1</v>
      </c>
      <c r="O648" s="183">
        <f t="shared" si="175"/>
        <v>0</v>
      </c>
      <c r="P648" s="184">
        <f t="shared" si="176"/>
        <v>0</v>
      </c>
      <c r="Q648" s="184">
        <f t="shared" si="177"/>
        <v>-1</v>
      </c>
      <c r="R64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25830</v>
      </c>
      <c r="T64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27000</v>
      </c>
      <c r="U648" s="186">
        <f ca="1">IF(Tabla33610673[[#This Row],[Equity]]&lt;Tabla33610673[[#This Row],[Equity Peak]],(Tabla33610673[[#This Row],[Equity Peak]]-Tabla33610673[[#This Row],[Equity]])/Tabla33610673[[#This Row],[Equity Peak]],"")</f>
        <v>4.3333333333333335E-2</v>
      </c>
      <c r="V648" s="187">
        <f t="shared" si="178"/>
        <v>-1</v>
      </c>
      <c r="W648" s="187">
        <f t="shared" si="179"/>
        <v>0</v>
      </c>
      <c r="X648" s="187">
        <f t="shared" si="180"/>
        <v>0</v>
      </c>
      <c r="Y648" s="187">
        <f t="shared" si="181"/>
        <v>0</v>
      </c>
      <c r="Z648" s="187">
        <f t="shared" si="182"/>
        <v>0</v>
      </c>
      <c r="AA648" s="183">
        <f t="shared" si="183"/>
        <v>0</v>
      </c>
      <c r="AB648" s="187">
        <f t="shared" si="184"/>
        <v>0</v>
      </c>
      <c r="AC648" s="183">
        <f t="shared" si="185"/>
        <v>0</v>
      </c>
      <c r="AD648" s="188">
        <f t="shared" si="186"/>
        <v>9.4444444446708076E-2</v>
      </c>
      <c r="AE648" s="188">
        <f t="shared" si="187"/>
        <v>0</v>
      </c>
      <c r="AF648" s="188">
        <f t="shared" si="188"/>
        <v>9.4444444446708076E-2</v>
      </c>
      <c r="AG648" s="188">
        <f t="shared" si="189"/>
        <v>0</v>
      </c>
    </row>
    <row r="649" spans="2:33" ht="15" customHeight="1" x14ac:dyDescent="0.15">
      <c r="B649" s="174" t="s">
        <v>19</v>
      </c>
      <c r="C649" s="175" t="s">
        <v>15</v>
      </c>
      <c r="D649" s="176" t="str">
        <f t="shared" si="171"/>
        <v>C</v>
      </c>
      <c r="E649" s="177" t="d">
        <v>2021-03-01T08:15:00.000</v>
      </c>
      <c r="F649" s="178" t="s">
        <v>77</v>
      </c>
      <c r="G649" s="179">
        <v>1753.23</v>
      </c>
      <c r="H649" s="179">
        <v>1745.49</v>
      </c>
      <c r="I649" s="180">
        <f t="shared" si="172"/>
        <v>7.7400000000000091</v>
      </c>
      <c r="J649" s="179">
        <v>1790.36</v>
      </c>
      <c r="K649" s="177" t="d">
        <v>2021-03-01T11:39:00.00000029336660775</v>
      </c>
      <c r="L649" s="179">
        <v>1745.49</v>
      </c>
      <c r="M649" s="181">
        <f t="shared" si="173"/>
        <v>-7.74</v>
      </c>
      <c r="N649" s="182">
        <f t="shared" si="174"/>
        <v>-1</v>
      </c>
      <c r="O649" s="183">
        <f t="shared" si="175"/>
        <v>0</v>
      </c>
      <c r="P649" s="184">
        <f t="shared" si="176"/>
        <v>0</v>
      </c>
      <c r="Q649" s="184">
        <f t="shared" si="177"/>
        <v>-1</v>
      </c>
      <c r="R64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26080</v>
      </c>
      <c r="T64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27000</v>
      </c>
      <c r="U649" s="186">
        <f ca="1">IF(Tabla33610673[[#This Row],[Equity]]&lt;Tabla33610673[[#This Row],[Equity Peak]],(Tabla33610673[[#This Row],[Equity Peak]]-Tabla33610673[[#This Row],[Equity]])/Tabla33610673[[#This Row],[Equity Peak]],"")</f>
        <v>3.4074074074074076E-2</v>
      </c>
      <c r="V649" s="187">
        <f t="shared" si="178"/>
        <v>0</v>
      </c>
      <c r="W649" s="187">
        <f t="shared" si="179"/>
        <v>0</v>
      </c>
      <c r="X649" s="187">
        <f t="shared" si="180"/>
        <v>-1</v>
      </c>
      <c r="Y649" s="187">
        <f t="shared" si="181"/>
        <v>0</v>
      </c>
      <c r="Z649" s="187">
        <f t="shared" si="182"/>
        <v>0</v>
      </c>
      <c r="AA649" s="183">
        <f t="shared" si="183"/>
        <v>0</v>
      </c>
      <c r="AB649" s="187">
        <f t="shared" si="184"/>
        <v>0</v>
      </c>
      <c r="AC649" s="183">
        <f t="shared" si="185"/>
        <v>0</v>
      </c>
      <c r="AD649" s="188">
        <f t="shared" si="186"/>
        <v>0.14166666667006211</v>
      </c>
      <c r="AE649" s="188">
        <f t="shared" si="187"/>
        <v>0</v>
      </c>
      <c r="AF649" s="188">
        <f t="shared" si="188"/>
        <v>0.14166666667006211</v>
      </c>
      <c r="AG649" s="188">
        <f t="shared" si="189"/>
        <v>0</v>
      </c>
    </row>
    <row r="650" spans="2:33" ht="15" customHeight="1" x14ac:dyDescent="0.15">
      <c r="B650" s="174" t="s">
        <v>7</v>
      </c>
      <c r="C650" s="175" t="s">
        <v>15</v>
      </c>
      <c r="D650" s="176" t="str">
        <f t="shared" si="171"/>
        <v>C</v>
      </c>
      <c r="E650" s="177" t="d">
        <v>2021-02-26T17:45:00.00000020954757600</v>
      </c>
      <c r="F650" s="178" t="s">
        <v>103</v>
      </c>
      <c r="G650" s="179">
        <v>106.553</v>
      </c>
      <c r="H650" s="179">
        <v>106.331</v>
      </c>
      <c r="I650" s="180">
        <f t="shared" si="172"/>
        <v>0.2219999999999942</v>
      </c>
      <c r="J650" s="179">
        <v>107.949</v>
      </c>
      <c r="K650" s="177" t="d">
        <v>2021-03-01T02:36:59.99999990221113300</v>
      </c>
      <c r="L650" s="179">
        <v>106.402</v>
      </c>
      <c r="M650" s="181">
        <f t="shared" si="173"/>
        <v>-0.151</v>
      </c>
      <c r="N650" s="182">
        <f t="shared" si="174"/>
        <v>-0.68</v>
      </c>
      <c r="O650" s="183">
        <f t="shared" si="175"/>
        <v>0</v>
      </c>
      <c r="P650" s="184">
        <f t="shared" si="176"/>
        <v>0</v>
      </c>
      <c r="Q650" s="184">
        <f t="shared" si="177"/>
        <v>-0.68</v>
      </c>
      <c r="R65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26330</v>
      </c>
      <c r="T65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27000</v>
      </c>
      <c r="U650" s="186">
        <f ca="1">IF(Tabla33610673[[#This Row],[Equity]]&lt;Tabla33610673[[#This Row],[Equity Peak]],(Tabla33610673[[#This Row],[Equity Peak]]-Tabla33610673[[#This Row],[Equity]])/Tabla33610673[[#This Row],[Equity Peak]],"")</f>
        <v>2.4814814814814814E-2</v>
      </c>
      <c r="V650" s="187">
        <f t="shared" si="178"/>
        <v>-0.68</v>
      </c>
      <c r="W650" s="187">
        <f t="shared" si="179"/>
        <v>0</v>
      </c>
      <c r="X650" s="187">
        <f t="shared" si="180"/>
        <v>0</v>
      </c>
      <c r="Y650" s="187">
        <f t="shared" si="181"/>
        <v>0</v>
      </c>
      <c r="Z650" s="187">
        <f t="shared" si="182"/>
        <v>0</v>
      </c>
      <c r="AA650" s="183">
        <f t="shared" si="183"/>
        <v>0</v>
      </c>
      <c r="AB650" s="187">
        <f t="shared" si="184"/>
        <v>0</v>
      </c>
      <c r="AC650" s="183">
        <f t="shared" si="185"/>
        <v>0</v>
      </c>
      <c r="AD650" s="188">
        <f t="shared" si="186"/>
        <v>2.3694444444408873</v>
      </c>
      <c r="AE650" s="188">
        <f t="shared" si="187"/>
        <v>0</v>
      </c>
      <c r="AF650" s="188">
        <f t="shared" si="188"/>
        <v>2.3694444444408873</v>
      </c>
      <c r="AG650" s="188">
        <f t="shared" si="189"/>
        <v>0</v>
      </c>
    </row>
    <row r="651" spans="2:33" ht="15" customHeight="1" x14ac:dyDescent="0.15">
      <c r="B651" s="174" t="s">
        <v>7</v>
      </c>
      <c r="C651" s="175" t="s">
        <v>15</v>
      </c>
      <c r="D651" s="176" t="str">
        <f t="shared" si="171"/>
        <v>C</v>
      </c>
      <c r="E651" s="177" t="d">
        <v>2021-02-26T12:00:00.000</v>
      </c>
      <c r="F651" s="178" t="s">
        <v>103</v>
      </c>
      <c r="G651" s="179">
        <v>106.485</v>
      </c>
      <c r="H651" s="179">
        <v>106.268</v>
      </c>
      <c r="I651" s="180">
        <f t="shared" si="172"/>
        <v>0.21699999999999875</v>
      </c>
      <c r="J651" s="179">
        <v>107.846</v>
      </c>
      <c r="K651" s="177" t="d">
        <v>2021-02-26T14:16:00.00000019557774075</v>
      </c>
      <c r="L651" s="179">
        <v>106.268</v>
      </c>
      <c r="M651" s="181">
        <f t="shared" si="173"/>
        <v>-0.217</v>
      </c>
      <c r="N651" s="182">
        <f t="shared" si="174"/>
        <v>-1</v>
      </c>
      <c r="O651" s="183">
        <f t="shared" si="175"/>
        <v>0</v>
      </c>
      <c r="P651" s="184">
        <f t="shared" si="176"/>
        <v>0</v>
      </c>
      <c r="Q651" s="184">
        <f t="shared" si="177"/>
        <v>-1</v>
      </c>
      <c r="R65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26500</v>
      </c>
      <c r="T65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27000</v>
      </c>
      <c r="U651" s="186">
        <f ca="1">IF(Tabla33610673[[#This Row],[Equity]]&lt;Tabla33610673[[#This Row],[Equity Peak]],(Tabla33610673[[#This Row],[Equity Peak]]-Tabla33610673[[#This Row],[Equity]])/Tabla33610673[[#This Row],[Equity Peak]],"")</f>
        <v>1.8518518518518517E-2</v>
      </c>
      <c r="V651" s="187">
        <f t="shared" si="178"/>
        <v>-1</v>
      </c>
      <c r="W651" s="187">
        <f t="shared" si="179"/>
        <v>0</v>
      </c>
      <c r="X651" s="187">
        <f t="shared" si="180"/>
        <v>0</v>
      </c>
      <c r="Y651" s="187">
        <f t="shared" si="181"/>
        <v>0</v>
      </c>
      <c r="Z651" s="187">
        <f t="shared" si="182"/>
        <v>0</v>
      </c>
      <c r="AA651" s="183">
        <f t="shared" si="183"/>
        <v>0</v>
      </c>
      <c r="AB651" s="187">
        <f t="shared" si="184"/>
        <v>0</v>
      </c>
      <c r="AC651" s="183">
        <f t="shared" si="185"/>
        <v>0</v>
      </c>
      <c r="AD651" s="188">
        <f t="shared" si="186"/>
        <v>9.4444444446708076E-2</v>
      </c>
      <c r="AE651" s="188">
        <f t="shared" si="187"/>
        <v>0</v>
      </c>
      <c r="AF651" s="188">
        <f t="shared" si="188"/>
        <v>9.4444444446708076E-2</v>
      </c>
      <c r="AG651" s="188">
        <f t="shared" si="189"/>
        <v>0</v>
      </c>
    </row>
    <row r="652" spans="2:33" ht="15" customHeight="1" x14ac:dyDescent="0.15">
      <c r="B652" s="174" t="s">
        <v>7</v>
      </c>
      <c r="C652" s="175" t="s">
        <v>13</v>
      </c>
      <c r="D652" s="176" t="str">
        <f t="shared" si="171"/>
        <v>C</v>
      </c>
      <c r="E652" s="177" t="d">
        <v>2021-02-26T09:59:59.99999979045242400</v>
      </c>
      <c r="F652" s="178" t="s">
        <v>102</v>
      </c>
      <c r="G652" s="179">
        <v>147.59</v>
      </c>
      <c r="H652" s="179">
        <v>148.041</v>
      </c>
      <c r="I652" s="180">
        <f t="shared" si="172"/>
        <v>0.45099999999999341</v>
      </c>
      <c r="J652" s="179">
        <v>145.18299999999999</v>
      </c>
      <c r="K652" s="177" t="d">
        <v>2021-02-26T10:44:59.99999979045242400</v>
      </c>
      <c r="L652" s="179">
        <v>148.041</v>
      </c>
      <c r="M652" s="181">
        <f t="shared" si="173"/>
        <v>-0.45100000000000001</v>
      </c>
      <c r="N652" s="182">
        <f t="shared" si="174"/>
        <v>-1</v>
      </c>
      <c r="O652" s="183">
        <f t="shared" si="175"/>
        <v>0</v>
      </c>
      <c r="P652" s="184">
        <f t="shared" si="176"/>
        <v>0</v>
      </c>
      <c r="Q652" s="184">
        <f t="shared" si="177"/>
        <v>-1</v>
      </c>
      <c r="R65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26750</v>
      </c>
      <c r="T65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27000</v>
      </c>
      <c r="U652" s="186">
        <f ca="1">IF(Tabla33610673[[#This Row],[Equity]]&lt;Tabla33610673[[#This Row],[Equity Peak]],(Tabla33610673[[#This Row],[Equity Peak]]-Tabla33610673[[#This Row],[Equity]])/Tabla33610673[[#This Row],[Equity Peak]],"")</f>
        <v>9.2592592592592587E-3</v>
      </c>
      <c r="V652" s="187">
        <f t="shared" si="178"/>
        <v>-1</v>
      </c>
      <c r="W652" s="187">
        <f t="shared" si="179"/>
        <v>0</v>
      </c>
      <c r="X652" s="187">
        <f t="shared" si="180"/>
        <v>0</v>
      </c>
      <c r="Y652" s="187">
        <f t="shared" si="181"/>
        <v>0</v>
      </c>
      <c r="Z652" s="187">
        <f t="shared" si="182"/>
        <v>0</v>
      </c>
      <c r="AA652" s="183">
        <f t="shared" si="183"/>
        <v>0</v>
      </c>
      <c r="AB652" s="187">
        <f t="shared" si="184"/>
        <v>0</v>
      </c>
      <c r="AC652" s="183">
        <f t="shared" si="185"/>
        <v>0</v>
      </c>
      <c r="AD652" s="188">
        <f t="shared" si="186"/>
        <v>3.125E-2</v>
      </c>
      <c r="AE652" s="188">
        <f t="shared" si="187"/>
        <v>0</v>
      </c>
      <c r="AF652" s="188">
        <f t="shared" si="188"/>
        <v>3.125E-2</v>
      </c>
      <c r="AG652" s="188">
        <f t="shared" si="189"/>
        <v>0</v>
      </c>
    </row>
    <row r="653" spans="2:33" ht="15" customHeight="1" x14ac:dyDescent="0.15">
      <c r="B653" s="174" t="s">
        <v>5</v>
      </c>
      <c r="C653" s="175" t="s">
        <v>13</v>
      </c>
      <c r="D653" s="176" t="str">
        <f t="shared" si="171"/>
        <v>C</v>
      </c>
      <c r="E653" s="177" t="d">
        <v>2021-02-25T19:30:00.000</v>
      </c>
      <c r="F653" s="178" t="s">
        <v>81</v>
      </c>
      <c r="G653" s="179">
        <v>12946.5</v>
      </c>
      <c r="H653" s="179">
        <v>13067.88</v>
      </c>
      <c r="I653" s="180">
        <f t="shared" si="172"/>
        <v>121.3799999999992</v>
      </c>
      <c r="J653" s="179">
        <v>12218.24</v>
      </c>
      <c r="K653" s="177" t="d">
        <v>2021-02-26T04:21:00.00000012572854425</v>
      </c>
      <c r="L653" s="179">
        <v>12835.42</v>
      </c>
      <c r="M653" s="181">
        <f t="shared" si="173"/>
        <v>111.08</v>
      </c>
      <c r="N653" s="182">
        <f t="shared" si="174"/>
        <v>0.92</v>
      </c>
      <c r="O653" s="183">
        <f t="shared" si="175"/>
        <v>0</v>
      </c>
      <c r="P653" s="184">
        <f t="shared" si="176"/>
        <v>0.92</v>
      </c>
      <c r="Q653" s="184">
        <f t="shared" si="177"/>
        <v>0</v>
      </c>
      <c r="R65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27000</v>
      </c>
      <c r="T65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27000</v>
      </c>
      <c r="U653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653" s="187">
        <f t="shared" si="178"/>
        <v>0</v>
      </c>
      <c r="W653" s="187">
        <f t="shared" si="179"/>
        <v>0</v>
      </c>
      <c r="X653" s="187">
        <f t="shared" si="180"/>
        <v>0</v>
      </c>
      <c r="Y653" s="187">
        <f t="shared" si="181"/>
        <v>0</v>
      </c>
      <c r="Z653" s="187">
        <f t="shared" si="182"/>
        <v>0.92</v>
      </c>
      <c r="AA653" s="183">
        <f t="shared" si="183"/>
        <v>0</v>
      </c>
      <c r="AB653" s="187">
        <f t="shared" si="184"/>
        <v>0</v>
      </c>
      <c r="AC653" s="183">
        <f t="shared" si="185"/>
        <v>0</v>
      </c>
      <c r="AD653" s="188">
        <f t="shared" si="186"/>
        <v>0.36875000000145519</v>
      </c>
      <c r="AE653" s="188">
        <f t="shared" si="187"/>
        <v>0.36875000000145519</v>
      </c>
      <c r="AF653" s="188">
        <f t="shared" si="188"/>
        <v>0</v>
      </c>
      <c r="AG653" s="188">
        <f t="shared" si="189"/>
        <v>0</v>
      </c>
    </row>
    <row r="654" spans="2:33" ht="15" customHeight="1" x14ac:dyDescent="0.15">
      <c r="B654" s="174" t="s">
        <v>5</v>
      </c>
      <c r="C654" s="175" t="s">
        <v>13</v>
      </c>
      <c r="D654" s="176" t="str">
        <f t="shared" si="171"/>
        <v>C</v>
      </c>
      <c r="E654" s="177" t="d">
        <v>2021-02-25T17:15:00.000</v>
      </c>
      <c r="F654" s="178" t="s">
        <v>82</v>
      </c>
      <c r="G654" s="179">
        <v>3899.5</v>
      </c>
      <c r="H654" s="179">
        <v>3923.26</v>
      </c>
      <c r="I654" s="180">
        <f t="shared" si="172"/>
        <v>23.760000000000218</v>
      </c>
      <c r="J654" s="179">
        <v>3745.04</v>
      </c>
      <c r="K654" s="177" t="d">
        <v>2021-02-25T21:08:59.99999987427145575</v>
      </c>
      <c r="L654" s="179">
        <v>3859.2</v>
      </c>
      <c r="M654" s="181">
        <f t="shared" si="173"/>
        <v>40.299999999999997</v>
      </c>
      <c r="N654" s="182">
        <f t="shared" si="174"/>
        <v>1.7</v>
      </c>
      <c r="O654" s="183">
        <f t="shared" si="175"/>
        <v>0</v>
      </c>
      <c r="P654" s="184">
        <f t="shared" si="176"/>
        <v>1.7</v>
      </c>
      <c r="Q654" s="184">
        <f t="shared" si="177"/>
        <v>0</v>
      </c>
      <c r="R65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26770</v>
      </c>
      <c r="T65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26952.5</v>
      </c>
      <c r="U654" s="186">
        <f ca="1">IF(Tabla33610673[[#This Row],[Equity]]&lt;Tabla33610673[[#This Row],[Equity Peak]],(Tabla33610673[[#This Row],[Equity Peak]]-Tabla33610673[[#This Row],[Equity]])/Tabla33610673[[#This Row],[Equity Peak]],"")</f>
        <v>6.7711715054262125E-3</v>
      </c>
      <c r="V654" s="187">
        <f t="shared" si="178"/>
        <v>0</v>
      </c>
      <c r="W654" s="187">
        <f t="shared" si="179"/>
        <v>0</v>
      </c>
      <c r="X654" s="187">
        <f t="shared" si="180"/>
        <v>0</v>
      </c>
      <c r="Y654" s="187">
        <f t="shared" si="181"/>
        <v>0</v>
      </c>
      <c r="Z654" s="187">
        <f t="shared" si="182"/>
        <v>1.7</v>
      </c>
      <c r="AA654" s="183">
        <f t="shared" si="183"/>
        <v>0</v>
      </c>
      <c r="AB654" s="187">
        <f t="shared" si="184"/>
        <v>0</v>
      </c>
      <c r="AC654" s="183">
        <f t="shared" si="185"/>
        <v>0</v>
      </c>
      <c r="AD654" s="188">
        <f t="shared" si="186"/>
        <v>0.16249999999854481</v>
      </c>
      <c r="AE654" s="188">
        <f t="shared" si="187"/>
        <v>0.16249999999854481</v>
      </c>
      <c r="AF654" s="188">
        <f t="shared" si="188"/>
        <v>0</v>
      </c>
      <c r="AG654" s="188">
        <f t="shared" si="189"/>
        <v>0</v>
      </c>
    </row>
    <row r="655" spans="2:33" ht="15" customHeight="1" x14ac:dyDescent="0.15">
      <c r="B655" s="174" t="s">
        <v>7</v>
      </c>
      <c r="C655" s="175" t="s">
        <v>15</v>
      </c>
      <c r="D655" s="176" t="str">
        <f t="shared" si="171"/>
        <v>C</v>
      </c>
      <c r="E655" s="177" t="d">
        <v>2021-02-25T18:00:00.000</v>
      </c>
      <c r="F655" s="178" t="s">
        <v>103</v>
      </c>
      <c r="G655" s="179">
        <v>106.25</v>
      </c>
      <c r="H655" s="179">
        <v>106.05</v>
      </c>
      <c r="I655" s="180">
        <f t="shared" si="172"/>
        <v>0.20000000000000284</v>
      </c>
      <c r="J655" s="179">
        <v>107.509</v>
      </c>
      <c r="K655" s="177" t="d">
        <v>2021-02-25T20:39:00.00000029336660775</v>
      </c>
      <c r="L655" s="179">
        <v>106.062</v>
      </c>
      <c r="M655" s="181">
        <f t="shared" si="173"/>
        <v>-0.188</v>
      </c>
      <c r="N655" s="182">
        <f t="shared" si="174"/>
        <v>-0.94</v>
      </c>
      <c r="O655" s="183">
        <f t="shared" si="175"/>
        <v>0</v>
      </c>
      <c r="P655" s="184">
        <f t="shared" si="176"/>
        <v>0</v>
      </c>
      <c r="Q655" s="184">
        <f t="shared" si="177"/>
        <v>-0.94</v>
      </c>
      <c r="R65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26345</v>
      </c>
      <c r="T65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26952.5</v>
      </c>
      <c r="U655" s="186">
        <f ca="1">IF(Tabla33610673[[#This Row],[Equity]]&lt;Tabla33610673[[#This Row],[Equity Peak]],(Tabla33610673[[#This Row],[Equity Peak]]-Tabla33610673[[#This Row],[Equity]])/Tabla33610673[[#This Row],[Equity Peak]],"")</f>
        <v>2.2539653093405065E-2</v>
      </c>
      <c r="V655" s="187">
        <f t="shared" si="178"/>
        <v>-0.94</v>
      </c>
      <c r="W655" s="187">
        <f t="shared" si="179"/>
        <v>0</v>
      </c>
      <c r="X655" s="187">
        <f t="shared" si="180"/>
        <v>0</v>
      </c>
      <c r="Y655" s="187">
        <f t="shared" si="181"/>
        <v>0</v>
      </c>
      <c r="Z655" s="187">
        <f t="shared" si="182"/>
        <v>0</v>
      </c>
      <c r="AA655" s="183">
        <f t="shared" si="183"/>
        <v>0</v>
      </c>
      <c r="AB655" s="187">
        <f t="shared" si="184"/>
        <v>0</v>
      </c>
      <c r="AC655" s="183">
        <f t="shared" si="185"/>
        <v>0</v>
      </c>
      <c r="AD655" s="188">
        <f t="shared" si="186"/>
        <v>0.11041666667006211</v>
      </c>
      <c r="AE655" s="188">
        <f t="shared" si="187"/>
        <v>0</v>
      </c>
      <c r="AF655" s="188">
        <f t="shared" si="188"/>
        <v>0.11041666667006211</v>
      </c>
      <c r="AG655" s="188">
        <f t="shared" si="189"/>
        <v>0</v>
      </c>
    </row>
    <row r="656" spans="2:33" ht="15" customHeight="1" x14ac:dyDescent="0.15">
      <c r="B656" s="174" t="s">
        <v>5</v>
      </c>
      <c r="C656" s="175" t="s">
        <v>15</v>
      </c>
      <c r="D656" s="176" t="str">
        <f t="shared" si="171"/>
        <v>C</v>
      </c>
      <c r="E656" s="177" t="d">
        <v>2021-02-24T18:30:00.00000020954757600</v>
      </c>
      <c r="F656" s="178" t="s">
        <v>82</v>
      </c>
      <c r="G656" s="179">
        <v>3900.7</v>
      </c>
      <c r="H656" s="179">
        <v>3877.08</v>
      </c>
      <c r="I656" s="180">
        <f t="shared" si="172"/>
        <v>23.619999999999891</v>
      </c>
      <c r="J656" s="179">
        <v>4054.23</v>
      </c>
      <c r="K656" s="177" t="d">
        <v>2021-02-25T13:37:00.00000011175870900</v>
      </c>
      <c r="L656" s="179">
        <v>3912.45</v>
      </c>
      <c r="M656" s="181">
        <f t="shared" si="173"/>
        <v>11.75</v>
      </c>
      <c r="N656" s="182">
        <f t="shared" si="174"/>
        <v>0.5</v>
      </c>
      <c r="O656" s="183">
        <f t="shared" si="175"/>
        <v>0</v>
      </c>
      <c r="P656" s="184">
        <f t="shared" si="176"/>
        <v>0.5</v>
      </c>
      <c r="Q656" s="184">
        <f t="shared" si="177"/>
        <v>0</v>
      </c>
      <c r="R65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26580</v>
      </c>
      <c r="T65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26952.5</v>
      </c>
      <c r="U656" s="186">
        <f ca="1">IF(Tabla33610673[[#This Row],[Equity]]&lt;Tabla33610673[[#This Row],[Equity Peak]],(Tabla33610673[[#This Row],[Equity Peak]]-Tabla33610673[[#This Row],[Equity]])/Tabla33610673[[#This Row],[Equity Peak]],"")</f>
        <v>1.3820610332993229E-2</v>
      </c>
      <c r="V656" s="187">
        <f t="shared" si="178"/>
        <v>0</v>
      </c>
      <c r="W656" s="187">
        <f t="shared" si="179"/>
        <v>0</v>
      </c>
      <c r="X656" s="187">
        <f t="shared" si="180"/>
        <v>0</v>
      </c>
      <c r="Y656" s="187">
        <f t="shared" si="181"/>
        <v>0</v>
      </c>
      <c r="Z656" s="187">
        <f t="shared" si="182"/>
        <v>0.5</v>
      </c>
      <c r="AA656" s="183">
        <f t="shared" si="183"/>
        <v>0</v>
      </c>
      <c r="AB656" s="187">
        <f t="shared" si="184"/>
        <v>0</v>
      </c>
      <c r="AC656" s="183">
        <f t="shared" si="185"/>
        <v>0</v>
      </c>
      <c r="AD656" s="188">
        <f t="shared" si="186"/>
        <v>0.79652777777664596</v>
      </c>
      <c r="AE656" s="188">
        <f t="shared" si="187"/>
        <v>0.79652777777664596</v>
      </c>
      <c r="AF656" s="188">
        <f t="shared" si="188"/>
        <v>0</v>
      </c>
      <c r="AG656" s="188">
        <f t="shared" si="189"/>
        <v>0</v>
      </c>
    </row>
    <row r="657" spans="2:33" ht="15" customHeight="1" x14ac:dyDescent="0.15">
      <c r="B657" s="174" t="s">
        <v>5</v>
      </c>
      <c r="C657" s="175" t="s">
        <v>15</v>
      </c>
      <c r="D657" s="176" t="str">
        <f t="shared" ref="D657:D720" si="190">IF(E657&lt;&gt;"",IF(K657&lt;&gt;"","C","O"),"")</f>
        <v>C</v>
      </c>
      <c r="E657" s="177" t="d">
        <v>2021-02-25T03:30:00.00000020954757600</v>
      </c>
      <c r="F657" s="178" t="s">
        <v>80</v>
      </c>
      <c r="G657" s="179">
        <v>14040.26</v>
      </c>
      <c r="H657" s="179">
        <v>13961.1</v>
      </c>
      <c r="I657" s="180">
        <f t="shared" ref="I657:I720" si="191">ABS(G657-H657)</f>
        <v>79.159999999999854</v>
      </c>
      <c r="J657" s="179">
        <v>14620.8</v>
      </c>
      <c r="K657" s="177" t="d">
        <v>2021-02-25T10:38:59.99999987427145575</v>
      </c>
      <c r="L657" s="179">
        <v>13961.1</v>
      </c>
      <c r="M657" s="181">
        <f t="shared" ref="M657:M720" si="192">ROUND(IF(C657="L",(L657-G657),(G657-L657)),4)</f>
        <v>-79.16</v>
      </c>
      <c r="N657" s="182">
        <f t="shared" ref="N657:N720" si="193">IFERROR(ROUND((M657/I657),2),"")</f>
        <v>-1</v>
      </c>
      <c r="O657" s="183">
        <f t="shared" ref="O657:O720" si="194">IF(D657="O",IF(N657&lt;0,N657,0),0)</f>
        <v>0</v>
      </c>
      <c r="P657" s="184">
        <f t="shared" ref="P657:P720" si="195">IF(N657&gt;= 0,N657,0)</f>
        <v>0</v>
      </c>
      <c r="Q657" s="184">
        <f t="shared" ref="Q657:Q720" si="196">IF(N657&lt;0,N657,0)</f>
        <v>-1</v>
      </c>
      <c r="R65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26455</v>
      </c>
      <c r="T65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26952.5</v>
      </c>
      <c r="U657" s="186">
        <f ca="1">IF(Tabla33610673[[#This Row],[Equity]]&lt;Tabla33610673[[#This Row],[Equity Peak]],(Tabla33610673[[#This Row],[Equity Peak]]-Tabla33610673[[#This Row],[Equity]])/Tabla33610673[[#This Row],[Equity Peak]],"")</f>
        <v>1.845839903533995E-2</v>
      </c>
      <c r="V657" s="187">
        <f t="shared" ref="V657:V720" si="197">IF(B657="FX",N657,0)</f>
        <v>0</v>
      </c>
      <c r="W657" s="187">
        <f t="shared" ref="W657:W720" si="198">IF(D657="O",IF(V657&lt;0,V657,0),0)</f>
        <v>0</v>
      </c>
      <c r="X657" s="187">
        <f t="shared" ref="X657:X720" si="199">IF(B657="COM",N657,0)</f>
        <v>0</v>
      </c>
      <c r="Y657" s="187">
        <f t="shared" ref="Y657:Y720" si="200">IF(D657="O",IF(X657&lt;0,X657,0),0)</f>
        <v>0</v>
      </c>
      <c r="Z657" s="187">
        <f t="shared" ref="Z657:Z720" si="201">IF(B657="IND",N657,0)</f>
        <v>-1</v>
      </c>
      <c r="AA657" s="183">
        <f t="shared" ref="AA657:AA720" si="202">IF(D657="O",IF(Z657&lt;0,Z657,0),0)</f>
        <v>0</v>
      </c>
      <c r="AB657" s="187">
        <f t="shared" ref="AB657:AB720" si="203">IF(B657="CRYPTO",N657,0)</f>
        <v>0</v>
      </c>
      <c r="AC657" s="183">
        <f t="shared" ref="AC657:AC720" si="204">IF(D657="O",IF(AB657&lt;0,AB657,0),0)</f>
        <v>0</v>
      </c>
      <c r="AD657" s="188">
        <f t="shared" ref="AD657:AD720" si="205">IF(K657&lt;&gt;"",K657-E657,0)</f>
        <v>0.29791666666278616</v>
      </c>
      <c r="AE657" s="188">
        <f t="shared" ref="AE657:AE720" si="206">IF(N657&gt;0,AD657,0)</f>
        <v>0</v>
      </c>
      <c r="AF657" s="188">
        <f t="shared" ref="AF657:AF720" si="207">IF(N657&lt;0,AD657,0)</f>
        <v>0.29791666666278616</v>
      </c>
      <c r="AG657" s="188">
        <f t="shared" ref="AG657:AG720" si="208">IF(N657=0,AD657,0)</f>
        <v>0</v>
      </c>
    </row>
    <row r="658" spans="2:33" ht="15" customHeight="1" x14ac:dyDescent="0.15">
      <c r="B658" s="174" t="s">
        <v>5</v>
      </c>
      <c r="C658" s="175" t="s">
        <v>15</v>
      </c>
      <c r="D658" s="176" t="str">
        <f t="shared" si="190"/>
        <v>C</v>
      </c>
      <c r="E658" s="177" t="d">
        <v>2021-02-24T14:29:59.99999979045242400</v>
      </c>
      <c r="F658" s="178" t="s">
        <v>82</v>
      </c>
      <c r="G658" s="179">
        <v>3896.03</v>
      </c>
      <c r="H658" s="179">
        <v>3873.47</v>
      </c>
      <c r="I658" s="180">
        <f t="shared" si="191"/>
        <v>22.5600000000004</v>
      </c>
      <c r="J658" s="179">
        <v>4042.68</v>
      </c>
      <c r="K658" s="177" t="d">
        <v>2021-02-24T15:52:00.00000011175870900</v>
      </c>
      <c r="L658" s="179">
        <v>3873.66</v>
      </c>
      <c r="M658" s="181">
        <f t="shared" si="192"/>
        <v>-22.37</v>
      </c>
      <c r="N658" s="182">
        <f t="shared" si="193"/>
        <v>-0.99</v>
      </c>
      <c r="O658" s="183">
        <f t="shared" si="194"/>
        <v>0</v>
      </c>
      <c r="P658" s="184">
        <f t="shared" si="195"/>
        <v>0</v>
      </c>
      <c r="Q658" s="184">
        <f t="shared" si="196"/>
        <v>-0.99</v>
      </c>
      <c r="R65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26705</v>
      </c>
      <c r="T65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26952.5</v>
      </c>
      <c r="U658" s="186">
        <f ca="1">IF(Tabla33610673[[#This Row],[Equity]]&lt;Tabla33610673[[#This Row],[Equity Peak]],(Tabla33610673[[#This Row],[Equity Peak]]-Tabla33610673[[#This Row],[Equity]])/Tabla33610673[[#This Row],[Equity Peak]],"")</f>
        <v>9.182821630646508E-3</v>
      </c>
      <c r="V658" s="187">
        <f t="shared" si="197"/>
        <v>0</v>
      </c>
      <c r="W658" s="187">
        <f t="shared" si="198"/>
        <v>0</v>
      </c>
      <c r="X658" s="187">
        <f t="shared" si="199"/>
        <v>0</v>
      </c>
      <c r="Y658" s="187">
        <f t="shared" si="200"/>
        <v>0</v>
      </c>
      <c r="Z658" s="187">
        <f t="shared" si="201"/>
        <v>-0.99</v>
      </c>
      <c r="AA658" s="183">
        <f t="shared" si="202"/>
        <v>0</v>
      </c>
      <c r="AB658" s="187">
        <f t="shared" si="203"/>
        <v>0</v>
      </c>
      <c r="AC658" s="183">
        <f t="shared" si="204"/>
        <v>0</v>
      </c>
      <c r="AD658" s="188">
        <f t="shared" si="205"/>
        <v>5.6944444448163267E-2</v>
      </c>
      <c r="AE658" s="188">
        <f t="shared" si="206"/>
        <v>0</v>
      </c>
      <c r="AF658" s="188">
        <f t="shared" si="207"/>
        <v>5.6944444448163267E-2</v>
      </c>
      <c r="AG658" s="188">
        <f t="shared" si="208"/>
        <v>0</v>
      </c>
    </row>
    <row r="659" spans="2:33" ht="15" customHeight="1" x14ac:dyDescent="0.15">
      <c r="B659" s="174" t="s">
        <v>7</v>
      </c>
      <c r="C659" s="175" t="s">
        <v>15</v>
      </c>
      <c r="D659" s="176" t="str">
        <f t="shared" si="190"/>
        <v>C</v>
      </c>
      <c r="E659" s="177" t="d">
        <v>2021-02-23T20:45:00.00000020954757600</v>
      </c>
      <c r="F659" s="178" t="s">
        <v>102</v>
      </c>
      <c r="G659" s="179">
        <v>148.441</v>
      </c>
      <c r="H659" s="179">
        <v>148.17699999999999</v>
      </c>
      <c r="I659" s="180">
        <f t="shared" si="191"/>
        <v>0.26400000000001</v>
      </c>
      <c r="J659" s="179">
        <v>149.84700000000001</v>
      </c>
      <c r="K659" s="177" t="d">
        <v>2021-02-24T03:21:59.99999990221113300</v>
      </c>
      <c r="L659" s="179">
        <v>149.84700000000001</v>
      </c>
      <c r="M659" s="181">
        <f t="shared" si="192"/>
        <v>1.4059999999999999</v>
      </c>
      <c r="N659" s="182">
        <f t="shared" si="193"/>
        <v>5.33</v>
      </c>
      <c r="O659" s="183">
        <f t="shared" si="194"/>
        <v>0</v>
      </c>
      <c r="P659" s="184">
        <f t="shared" si="195"/>
        <v>5.33</v>
      </c>
      <c r="Q659" s="184">
        <f t="shared" si="196"/>
        <v>0</v>
      </c>
      <c r="R65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26952.5</v>
      </c>
      <c r="T65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26952.5</v>
      </c>
      <c r="U659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659" s="187">
        <f t="shared" si="197"/>
        <v>5.33</v>
      </c>
      <c r="W659" s="187">
        <f t="shared" si="198"/>
        <v>0</v>
      </c>
      <c r="X659" s="187">
        <f t="shared" si="199"/>
        <v>0</v>
      </c>
      <c r="Y659" s="187">
        <f t="shared" si="200"/>
        <v>0</v>
      </c>
      <c r="Z659" s="187">
        <f t="shared" si="201"/>
        <v>0</v>
      </c>
      <c r="AA659" s="183">
        <f t="shared" si="202"/>
        <v>0</v>
      </c>
      <c r="AB659" s="187">
        <f t="shared" si="203"/>
        <v>0</v>
      </c>
      <c r="AC659" s="183">
        <f t="shared" si="204"/>
        <v>0</v>
      </c>
      <c r="AD659" s="188">
        <f t="shared" si="205"/>
        <v>0.27569444444088731</v>
      </c>
      <c r="AE659" s="188">
        <f t="shared" si="206"/>
        <v>0.27569444444088731</v>
      </c>
      <c r="AF659" s="188">
        <f t="shared" si="207"/>
        <v>0</v>
      </c>
      <c r="AG659" s="188">
        <f t="shared" si="208"/>
        <v>0</v>
      </c>
    </row>
    <row r="660" spans="2:33" ht="15" customHeight="1" x14ac:dyDescent="0.15">
      <c r="B660" s="174" t="s">
        <v>5</v>
      </c>
      <c r="C660" s="175" t="s">
        <v>13</v>
      </c>
      <c r="D660" s="176" t="str">
        <f t="shared" si="190"/>
        <v>C</v>
      </c>
      <c r="E660" s="177" t="d">
        <v>2021-02-23T11:15:00.000</v>
      </c>
      <c r="F660" s="178" t="s">
        <v>82</v>
      </c>
      <c r="G660" s="179">
        <v>3868.24</v>
      </c>
      <c r="H660" s="179">
        <v>3887.06</v>
      </c>
      <c r="I660" s="180">
        <f t="shared" si="191"/>
        <v>18.820000000000164</v>
      </c>
      <c r="J660" s="179">
        <v>3745.91</v>
      </c>
      <c r="K660" s="177" t="d">
        <v>2021-02-23T17:26:59.99999983236193650</v>
      </c>
      <c r="L660" s="179">
        <v>3846.96</v>
      </c>
      <c r="M660" s="181">
        <f t="shared" si="192"/>
        <v>21.28</v>
      </c>
      <c r="N660" s="182">
        <f t="shared" si="193"/>
        <v>1.1299999999999999</v>
      </c>
      <c r="O660" s="183">
        <f t="shared" si="194"/>
        <v>0</v>
      </c>
      <c r="P660" s="184">
        <f t="shared" si="195"/>
        <v>1.1299999999999999</v>
      </c>
      <c r="Q660" s="184">
        <f t="shared" si="196"/>
        <v>0</v>
      </c>
      <c r="R66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25620</v>
      </c>
      <c r="T66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26887.5</v>
      </c>
      <c r="U660" s="186">
        <f ca="1">IF(Tabla33610673[[#This Row],[Equity]]&lt;Tabla33610673[[#This Row],[Equity Peak]],(Tabla33610673[[#This Row],[Equity Peak]]-Tabla33610673[[#This Row],[Equity]])/Tabla33610673[[#This Row],[Equity Peak]],"")</f>
        <v>4.7140864714086468E-2</v>
      </c>
      <c r="V660" s="187">
        <f t="shared" si="197"/>
        <v>0</v>
      </c>
      <c r="W660" s="187">
        <f t="shared" si="198"/>
        <v>0</v>
      </c>
      <c r="X660" s="187">
        <f t="shared" si="199"/>
        <v>0</v>
      </c>
      <c r="Y660" s="187">
        <f t="shared" si="200"/>
        <v>0</v>
      </c>
      <c r="Z660" s="187">
        <f t="shared" si="201"/>
        <v>1.1299999999999999</v>
      </c>
      <c r="AA660" s="183">
        <f t="shared" si="202"/>
        <v>0</v>
      </c>
      <c r="AB660" s="187">
        <f t="shared" si="203"/>
        <v>0</v>
      </c>
      <c r="AC660" s="183">
        <f t="shared" si="204"/>
        <v>0</v>
      </c>
      <c r="AD660" s="188">
        <f t="shared" si="205"/>
        <v>0.25833333333139308</v>
      </c>
      <c r="AE660" s="188">
        <f t="shared" si="206"/>
        <v>0.25833333333139308</v>
      </c>
      <c r="AF660" s="188">
        <f t="shared" si="207"/>
        <v>0</v>
      </c>
      <c r="AG660" s="188">
        <f t="shared" si="208"/>
        <v>0</v>
      </c>
    </row>
    <row r="661" spans="2:33" ht="15" customHeight="1" x14ac:dyDescent="0.15">
      <c r="B661" s="174" t="s">
        <v>7</v>
      </c>
      <c r="C661" s="175" t="s">
        <v>15</v>
      </c>
      <c r="D661" s="176" t="str">
        <f t="shared" si="190"/>
        <v>C</v>
      </c>
      <c r="E661" s="177" t="d">
        <v>2021-02-23T12:00:00.000</v>
      </c>
      <c r="F661" s="178" t="s">
        <v>102</v>
      </c>
      <c r="G661" s="179">
        <v>148.33099999999999</v>
      </c>
      <c r="H661" s="179">
        <v>148.06100000000001</v>
      </c>
      <c r="I661" s="180">
        <f t="shared" si="191"/>
        <v>0.26999999999998181</v>
      </c>
      <c r="J661" s="179">
        <v>149.77000000000001</v>
      </c>
      <c r="K661" s="177" t="d">
        <v>2021-02-23T16:48:59.99999994412064550</v>
      </c>
      <c r="L661" s="179">
        <v>148.06100000000001</v>
      </c>
      <c r="M661" s="181">
        <f t="shared" si="192"/>
        <v>-0.27</v>
      </c>
      <c r="N661" s="182">
        <f t="shared" si="193"/>
        <v>-1</v>
      </c>
      <c r="O661" s="183">
        <f t="shared" si="194"/>
        <v>0</v>
      </c>
      <c r="P661" s="184">
        <f t="shared" si="195"/>
        <v>0</v>
      </c>
      <c r="Q661" s="184">
        <f t="shared" si="196"/>
        <v>-1</v>
      </c>
      <c r="R66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25337.5</v>
      </c>
      <c r="T66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26887.5</v>
      </c>
      <c r="U661" s="186">
        <f ca="1">IF(Tabla33610673[[#This Row],[Equity]]&lt;Tabla33610673[[#This Row],[Equity Peak]],(Tabla33610673[[#This Row],[Equity Peak]]-Tabla33610673[[#This Row],[Equity]])/Tabla33610673[[#This Row],[Equity Peak]],"")</f>
        <v>5.7647605764760579E-2</v>
      </c>
      <c r="V661" s="187">
        <f t="shared" si="197"/>
        <v>-1</v>
      </c>
      <c r="W661" s="187">
        <f t="shared" si="198"/>
        <v>0</v>
      </c>
      <c r="X661" s="187">
        <f t="shared" si="199"/>
        <v>0</v>
      </c>
      <c r="Y661" s="187">
        <f t="shared" si="200"/>
        <v>0</v>
      </c>
      <c r="Z661" s="187">
        <f t="shared" si="201"/>
        <v>0</v>
      </c>
      <c r="AA661" s="183">
        <f t="shared" si="202"/>
        <v>0</v>
      </c>
      <c r="AB661" s="187">
        <f t="shared" si="203"/>
        <v>0</v>
      </c>
      <c r="AC661" s="183">
        <f t="shared" si="204"/>
        <v>0</v>
      </c>
      <c r="AD661" s="188">
        <f t="shared" si="205"/>
        <v>0.20069444444379769</v>
      </c>
      <c r="AE661" s="188">
        <f t="shared" si="206"/>
        <v>0</v>
      </c>
      <c r="AF661" s="188">
        <f t="shared" si="207"/>
        <v>0.20069444444379769</v>
      </c>
      <c r="AG661" s="188">
        <f t="shared" si="208"/>
        <v>0</v>
      </c>
    </row>
    <row r="662" spans="2:33" ht="15" customHeight="1" x14ac:dyDescent="0.15">
      <c r="B662" s="174" t="s">
        <v>5</v>
      </c>
      <c r="C662" s="175" t="s">
        <v>13</v>
      </c>
      <c r="D662" s="176" t="str">
        <f t="shared" si="190"/>
        <v>C</v>
      </c>
      <c r="E662" s="177" t="d">
        <v>2021-02-23T11:29:59.99999979045242400</v>
      </c>
      <c r="F662" s="178" t="s">
        <v>80</v>
      </c>
      <c r="G662" s="179">
        <v>13765.5</v>
      </c>
      <c r="H662" s="179">
        <v>13824.43</v>
      </c>
      <c r="I662" s="180">
        <f t="shared" si="191"/>
        <v>58.930000000000291</v>
      </c>
      <c r="J662" s="179">
        <v>13333.36</v>
      </c>
      <c r="K662" s="177" t="d">
        <v>2021-02-23T13:24:00.00000008381903175</v>
      </c>
      <c r="L662" s="179">
        <v>13773.23</v>
      </c>
      <c r="M662" s="181">
        <f t="shared" si="192"/>
        <v>-7.73</v>
      </c>
      <c r="N662" s="182">
        <f t="shared" si="193"/>
        <v>-0.13</v>
      </c>
      <c r="O662" s="183">
        <f t="shared" si="194"/>
        <v>0</v>
      </c>
      <c r="P662" s="184">
        <f t="shared" si="195"/>
        <v>0</v>
      </c>
      <c r="Q662" s="184">
        <f t="shared" si="196"/>
        <v>-0.13</v>
      </c>
      <c r="R66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25587.5</v>
      </c>
      <c r="T66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26887.5</v>
      </c>
      <c r="U662" s="186">
        <f ca="1">IF(Tabla33610673[[#This Row],[Equity]]&lt;Tabla33610673[[#This Row],[Equity Peak]],(Tabla33610673[[#This Row],[Equity Peak]]-Tabla33610673[[#This Row],[Equity]])/Tabla33610673[[#This Row],[Equity Peak]],"")</f>
        <v>4.834960483496048E-2</v>
      </c>
      <c r="V662" s="187">
        <f t="shared" si="197"/>
        <v>0</v>
      </c>
      <c r="W662" s="187">
        <f t="shared" si="198"/>
        <v>0</v>
      </c>
      <c r="X662" s="187">
        <f t="shared" si="199"/>
        <v>0</v>
      </c>
      <c r="Y662" s="187">
        <f t="shared" si="200"/>
        <v>0</v>
      </c>
      <c r="Z662" s="187">
        <f t="shared" si="201"/>
        <v>-0.13</v>
      </c>
      <c r="AA662" s="183">
        <f t="shared" si="202"/>
        <v>0</v>
      </c>
      <c r="AB662" s="187">
        <f t="shared" si="203"/>
        <v>0</v>
      </c>
      <c r="AC662" s="183">
        <f t="shared" si="204"/>
        <v>0</v>
      </c>
      <c r="AD662" s="188">
        <f t="shared" si="205"/>
        <v>7.9166666670062114E-2</v>
      </c>
      <c r="AE662" s="188">
        <f t="shared" si="206"/>
        <v>0</v>
      </c>
      <c r="AF662" s="188">
        <f t="shared" si="207"/>
        <v>7.9166666670062114E-2</v>
      </c>
      <c r="AG662" s="188">
        <f t="shared" si="208"/>
        <v>0</v>
      </c>
    </row>
    <row r="663" spans="2:33" ht="15" customHeight="1" x14ac:dyDescent="0.15">
      <c r="B663" s="174" t="s">
        <v>19</v>
      </c>
      <c r="C663" s="175" t="s">
        <v>15</v>
      </c>
      <c r="D663" s="176" t="str">
        <f t="shared" si="190"/>
        <v>C</v>
      </c>
      <c r="E663" s="177" t="d">
        <v>2021-02-19T15:59:59.99999979045242400</v>
      </c>
      <c r="F663" s="178" t="s">
        <v>77</v>
      </c>
      <c r="G663" s="179">
        <v>1783.44</v>
      </c>
      <c r="H663" s="179">
        <v>1776.98</v>
      </c>
      <c r="I663" s="180">
        <f t="shared" si="191"/>
        <v>6.4600000000000364</v>
      </c>
      <c r="J663" s="179">
        <v>1814.43</v>
      </c>
      <c r="K663" s="177" t="d">
        <v>2021-02-23T04:37:00.00000011175870900</v>
      </c>
      <c r="L663" s="179">
        <v>1814.43</v>
      </c>
      <c r="M663" s="181">
        <f t="shared" si="192"/>
        <v>30.99</v>
      </c>
      <c r="N663" s="182">
        <f t="shared" si="193"/>
        <v>4.8</v>
      </c>
      <c r="O663" s="183">
        <f t="shared" si="194"/>
        <v>0</v>
      </c>
      <c r="P663" s="184">
        <f t="shared" si="195"/>
        <v>4.8</v>
      </c>
      <c r="Q663" s="184">
        <f t="shared" si="196"/>
        <v>0</v>
      </c>
      <c r="R66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25620</v>
      </c>
      <c r="T66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26887.5</v>
      </c>
      <c r="U663" s="186">
        <f ca="1">IF(Tabla33610673[[#This Row],[Equity]]&lt;Tabla33610673[[#This Row],[Equity Peak]],(Tabla33610673[[#This Row],[Equity Peak]]-Tabla33610673[[#This Row],[Equity]])/Tabla33610673[[#This Row],[Equity Peak]],"")</f>
        <v>4.7140864714086468E-2</v>
      </c>
      <c r="V663" s="187">
        <f t="shared" si="197"/>
        <v>0</v>
      </c>
      <c r="W663" s="187">
        <f t="shared" si="198"/>
        <v>0</v>
      </c>
      <c r="X663" s="187">
        <f t="shared" si="199"/>
        <v>4.8</v>
      </c>
      <c r="Y663" s="187">
        <f t="shared" si="200"/>
        <v>0</v>
      </c>
      <c r="Z663" s="187">
        <f t="shared" si="201"/>
        <v>0</v>
      </c>
      <c r="AA663" s="183">
        <f t="shared" si="202"/>
        <v>0</v>
      </c>
      <c r="AB663" s="187">
        <f t="shared" si="203"/>
        <v>0</v>
      </c>
      <c r="AC663" s="183">
        <f t="shared" si="204"/>
        <v>0</v>
      </c>
      <c r="AD663" s="188">
        <f t="shared" si="205"/>
        <v>3.5256944444481633</v>
      </c>
      <c r="AE663" s="188">
        <f t="shared" si="206"/>
        <v>3.5256944444481633</v>
      </c>
      <c r="AF663" s="188">
        <f t="shared" si="207"/>
        <v>0</v>
      </c>
      <c r="AG663" s="188">
        <f t="shared" si="208"/>
        <v>0</v>
      </c>
    </row>
    <row r="664" spans="2:33" ht="15" customHeight="1" x14ac:dyDescent="0.15">
      <c r="B664" s="174" t="s">
        <v>5</v>
      </c>
      <c r="C664" s="175" t="s">
        <v>13</v>
      </c>
      <c r="D664" s="176" t="str">
        <f t="shared" si="190"/>
        <v>C</v>
      </c>
      <c r="E664" s="177" t="d">
        <v>2021-02-22T09:14:59.99999979045242400</v>
      </c>
      <c r="F664" s="178" t="s">
        <v>81</v>
      </c>
      <c r="G664" s="179">
        <v>13475.24</v>
      </c>
      <c r="H664" s="179">
        <v>13539.66</v>
      </c>
      <c r="I664" s="180">
        <f t="shared" si="191"/>
        <v>64.420000000000073</v>
      </c>
      <c r="J664" s="179">
        <v>13088.72</v>
      </c>
      <c r="K664" s="177" t="d">
        <v>2021-02-22T16:54:00.00000029336660775</v>
      </c>
      <c r="L664" s="179">
        <v>13439.8</v>
      </c>
      <c r="M664" s="181">
        <f t="shared" si="192"/>
        <v>35.44</v>
      </c>
      <c r="N664" s="182">
        <f t="shared" si="193"/>
        <v>0.55000000000000004</v>
      </c>
      <c r="O664" s="183">
        <f t="shared" si="194"/>
        <v>0</v>
      </c>
      <c r="P664" s="184">
        <f t="shared" si="195"/>
        <v>0.55000000000000004</v>
      </c>
      <c r="Q664" s="184">
        <f t="shared" si="196"/>
        <v>0</v>
      </c>
      <c r="R66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24420</v>
      </c>
      <c r="T66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26887.5</v>
      </c>
      <c r="U664" s="186">
        <f ca="1">IF(Tabla33610673[[#This Row],[Equity]]&lt;Tabla33610673[[#This Row],[Equity Peak]],(Tabla33610673[[#This Row],[Equity Peak]]-Tabla33610673[[#This Row],[Equity]])/Tabla33610673[[#This Row],[Equity Peak]],"")</f>
        <v>9.1771269177126913E-2</v>
      </c>
      <c r="V664" s="187">
        <f t="shared" si="197"/>
        <v>0</v>
      </c>
      <c r="W664" s="187">
        <f t="shared" si="198"/>
        <v>0</v>
      </c>
      <c r="X664" s="187">
        <f t="shared" si="199"/>
        <v>0</v>
      </c>
      <c r="Y664" s="187">
        <f t="shared" si="200"/>
        <v>0</v>
      </c>
      <c r="Z664" s="187">
        <f t="shared" si="201"/>
        <v>0.55000000000000004</v>
      </c>
      <c r="AA664" s="183">
        <f t="shared" si="202"/>
        <v>0</v>
      </c>
      <c r="AB664" s="187">
        <f t="shared" si="203"/>
        <v>0</v>
      </c>
      <c r="AC664" s="183">
        <f t="shared" si="204"/>
        <v>0</v>
      </c>
      <c r="AD664" s="188">
        <f t="shared" si="205"/>
        <v>0.31875000000582077</v>
      </c>
      <c r="AE664" s="188">
        <f t="shared" si="206"/>
        <v>0.31875000000582077</v>
      </c>
      <c r="AF664" s="188">
        <f t="shared" si="207"/>
        <v>0</v>
      </c>
      <c r="AG664" s="188">
        <f t="shared" si="208"/>
        <v>0</v>
      </c>
    </row>
    <row r="665" spans="2:33" ht="15" customHeight="1" x14ac:dyDescent="0.15">
      <c r="B665" s="174" t="s">
        <v>5</v>
      </c>
      <c r="C665" s="175" t="s">
        <v>13</v>
      </c>
      <c r="D665" s="176" t="str">
        <f t="shared" si="190"/>
        <v>C</v>
      </c>
      <c r="E665" s="177" t="d">
        <v>2021-02-22T05:00:00.00000020954757600</v>
      </c>
      <c r="F665" s="178" t="s">
        <v>82</v>
      </c>
      <c r="G665" s="179">
        <v>3896.46</v>
      </c>
      <c r="H665" s="179">
        <v>3913.02</v>
      </c>
      <c r="I665" s="180">
        <f t="shared" si="191"/>
        <v>16.559999999999945</v>
      </c>
      <c r="J665" s="179">
        <v>3788.79</v>
      </c>
      <c r="K665" s="177" t="d">
        <v>2021-02-22T16:38:59.99999987427145575</v>
      </c>
      <c r="L665" s="179">
        <v>3885.82</v>
      </c>
      <c r="M665" s="181">
        <f t="shared" si="192"/>
        <v>10.64</v>
      </c>
      <c r="N665" s="182">
        <f t="shared" si="193"/>
        <v>0.64</v>
      </c>
      <c r="O665" s="183">
        <f t="shared" si="194"/>
        <v>0</v>
      </c>
      <c r="P665" s="184">
        <f t="shared" si="195"/>
        <v>0.64</v>
      </c>
      <c r="Q665" s="184">
        <f t="shared" si="196"/>
        <v>0</v>
      </c>
      <c r="R66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24282.5</v>
      </c>
      <c r="T66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26887.5</v>
      </c>
      <c r="U665" s="186">
        <f ca="1">IF(Tabla33610673[[#This Row],[Equity]]&lt;Tabla33610673[[#This Row],[Equity Peak]],(Tabla33610673[[#This Row],[Equity Peak]]-Tabla33610673[[#This Row],[Equity]])/Tabla33610673[[#This Row],[Equity Peak]],"")</f>
        <v>9.6885169688516973E-2</v>
      </c>
      <c r="V665" s="187">
        <f t="shared" si="197"/>
        <v>0</v>
      </c>
      <c r="W665" s="187">
        <f t="shared" si="198"/>
        <v>0</v>
      </c>
      <c r="X665" s="187">
        <f t="shared" si="199"/>
        <v>0</v>
      </c>
      <c r="Y665" s="187">
        <f t="shared" si="200"/>
        <v>0</v>
      </c>
      <c r="Z665" s="187">
        <f t="shared" si="201"/>
        <v>0.64</v>
      </c>
      <c r="AA665" s="183">
        <f t="shared" si="202"/>
        <v>0</v>
      </c>
      <c r="AB665" s="187">
        <f t="shared" si="203"/>
        <v>0</v>
      </c>
      <c r="AC665" s="183">
        <f t="shared" si="204"/>
        <v>0</v>
      </c>
      <c r="AD665" s="188">
        <f t="shared" si="205"/>
        <v>0.48541666666278616</v>
      </c>
      <c r="AE665" s="188">
        <f t="shared" si="206"/>
        <v>0.48541666666278616</v>
      </c>
      <c r="AF665" s="188">
        <f t="shared" si="207"/>
        <v>0</v>
      </c>
      <c r="AG665" s="188">
        <f t="shared" si="208"/>
        <v>0</v>
      </c>
    </row>
    <row r="666" spans="2:33" ht="15" customHeight="1" x14ac:dyDescent="0.15">
      <c r="B666" s="174" t="s">
        <v>5</v>
      </c>
      <c r="C666" s="175" t="s">
        <v>13</v>
      </c>
      <c r="D666" s="176" t="str">
        <f t="shared" si="190"/>
        <v>C</v>
      </c>
      <c r="E666" s="177" t="d">
        <v>2021-02-22T10:30:00.000</v>
      </c>
      <c r="F666" s="178" t="s">
        <v>80</v>
      </c>
      <c r="G666" s="179">
        <v>13813.73</v>
      </c>
      <c r="H666" s="179">
        <v>13867.25</v>
      </c>
      <c r="I666" s="180">
        <f t="shared" si="191"/>
        <v>53.520000000000437</v>
      </c>
      <c r="J666" s="179">
        <v>13421.28</v>
      </c>
      <c r="K666" s="177" t="d">
        <v>2021-02-22T11:06:59.99999969266355025</v>
      </c>
      <c r="L666" s="179">
        <v>13867.25</v>
      </c>
      <c r="M666" s="181">
        <f t="shared" si="192"/>
        <v>-53.52</v>
      </c>
      <c r="N666" s="182">
        <f t="shared" si="193"/>
        <v>-1</v>
      </c>
      <c r="O666" s="183">
        <f t="shared" si="194"/>
        <v>0</v>
      </c>
      <c r="P666" s="184">
        <f t="shared" si="195"/>
        <v>0</v>
      </c>
      <c r="Q666" s="184">
        <f t="shared" si="196"/>
        <v>-1</v>
      </c>
      <c r="R66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24122.5</v>
      </c>
      <c r="T66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26887.5</v>
      </c>
      <c r="U666" s="186">
        <f ca="1">IF(Tabla33610673[[#This Row],[Equity]]&lt;Tabla33610673[[#This Row],[Equity Peak]],(Tabla33610673[[#This Row],[Equity Peak]]-Tabla33610673[[#This Row],[Equity]])/Tabla33610673[[#This Row],[Equity Peak]],"")</f>
        <v>0.10283589028358903</v>
      </c>
      <c r="V666" s="187">
        <f t="shared" si="197"/>
        <v>0</v>
      </c>
      <c r="W666" s="187">
        <f t="shared" si="198"/>
        <v>0</v>
      </c>
      <c r="X666" s="187">
        <f t="shared" si="199"/>
        <v>0</v>
      </c>
      <c r="Y666" s="187">
        <f t="shared" si="200"/>
        <v>0</v>
      </c>
      <c r="Z666" s="187">
        <f t="shared" si="201"/>
        <v>-1</v>
      </c>
      <c r="AA666" s="183">
        <f t="shared" si="202"/>
        <v>0</v>
      </c>
      <c r="AB666" s="187">
        <f t="shared" si="203"/>
        <v>0</v>
      </c>
      <c r="AC666" s="183">
        <f t="shared" si="204"/>
        <v>0</v>
      </c>
      <c r="AD666" s="188">
        <f t="shared" si="205"/>
        <v>2.569444444088731E-2</v>
      </c>
      <c r="AE666" s="188">
        <f t="shared" si="206"/>
        <v>0</v>
      </c>
      <c r="AF666" s="188">
        <f t="shared" si="207"/>
        <v>2.569444444088731E-2</v>
      </c>
      <c r="AG666" s="188">
        <f t="shared" si="208"/>
        <v>0</v>
      </c>
    </row>
    <row r="667" spans="2:33" ht="15" customHeight="1" x14ac:dyDescent="0.15">
      <c r="B667" s="174" t="s">
        <v>7</v>
      </c>
      <c r="C667" s="175" t="s">
        <v>15</v>
      </c>
      <c r="D667" s="176" t="str">
        <f t="shared" si="190"/>
        <v>C</v>
      </c>
      <c r="E667" s="177" t="d">
        <v>2021-02-22T03:30:00.00000020954757600</v>
      </c>
      <c r="F667" s="178" t="s">
        <v>102</v>
      </c>
      <c r="G667" s="179">
        <v>148.19499999999999</v>
      </c>
      <c r="H667" s="179">
        <v>147.91999999999999</v>
      </c>
      <c r="I667" s="180">
        <f t="shared" si="191"/>
        <v>0.27500000000000568</v>
      </c>
      <c r="J667" s="179">
        <v>149.66399999999999</v>
      </c>
      <c r="K667" s="177" t="d">
        <v>2021-02-22T09:07:00.00000011175870900</v>
      </c>
      <c r="L667" s="179">
        <v>147.91999999999999</v>
      </c>
      <c r="M667" s="181">
        <f t="shared" si="192"/>
        <v>-0.27500000000000002</v>
      </c>
      <c r="N667" s="182">
        <f t="shared" si="193"/>
        <v>-1</v>
      </c>
      <c r="O667" s="183">
        <f t="shared" si="194"/>
        <v>0</v>
      </c>
      <c r="P667" s="184">
        <f t="shared" si="195"/>
        <v>0</v>
      </c>
      <c r="Q667" s="184">
        <f t="shared" si="196"/>
        <v>-1</v>
      </c>
      <c r="R66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24372.5</v>
      </c>
      <c r="T66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26887.5</v>
      </c>
      <c r="U667" s="186">
        <f ca="1">IF(Tabla33610673[[#This Row],[Equity]]&lt;Tabla33610673[[#This Row],[Equity Peak]],(Tabla33610673[[#This Row],[Equity Peak]]-Tabla33610673[[#This Row],[Equity]])/Tabla33610673[[#This Row],[Equity Peak]],"")</f>
        <v>9.3537889353788942E-2</v>
      </c>
      <c r="V667" s="187">
        <f t="shared" si="197"/>
        <v>-1</v>
      </c>
      <c r="W667" s="187">
        <f t="shared" si="198"/>
        <v>0</v>
      </c>
      <c r="X667" s="187">
        <f t="shared" si="199"/>
        <v>0</v>
      </c>
      <c r="Y667" s="187">
        <f t="shared" si="200"/>
        <v>0</v>
      </c>
      <c r="Z667" s="187">
        <f t="shared" si="201"/>
        <v>0</v>
      </c>
      <c r="AA667" s="183">
        <f t="shared" si="202"/>
        <v>0</v>
      </c>
      <c r="AB667" s="187">
        <f t="shared" si="203"/>
        <v>0</v>
      </c>
      <c r="AC667" s="183">
        <f t="shared" si="204"/>
        <v>0</v>
      </c>
      <c r="AD667" s="188">
        <f t="shared" si="205"/>
        <v>0.23402777777664596</v>
      </c>
      <c r="AE667" s="188">
        <f t="shared" si="206"/>
        <v>0</v>
      </c>
      <c r="AF667" s="188">
        <f t="shared" si="207"/>
        <v>0.23402777777664596</v>
      </c>
      <c r="AG667" s="188">
        <f t="shared" si="208"/>
        <v>0</v>
      </c>
    </row>
    <row r="668" spans="2:33" ht="15" customHeight="1" x14ac:dyDescent="0.15">
      <c r="B668" s="174" t="s">
        <v>5</v>
      </c>
      <c r="C668" s="175" t="s">
        <v>13</v>
      </c>
      <c r="D668" s="176" t="str">
        <f t="shared" si="190"/>
        <v>C</v>
      </c>
      <c r="E668" s="177" t="d">
        <v>2021-02-19T23:15:00.000</v>
      </c>
      <c r="F668" s="178" t="s">
        <v>82</v>
      </c>
      <c r="G668" s="179">
        <v>3901.41</v>
      </c>
      <c r="H668" s="179">
        <v>3917.34</v>
      </c>
      <c r="I668" s="180">
        <f t="shared" si="191"/>
        <v>15.930000000000291</v>
      </c>
      <c r="J668" s="179">
        <v>3797.87</v>
      </c>
      <c r="K668" s="177" t="d">
        <v>2021-02-22T03:05:59.99999991618096825</v>
      </c>
      <c r="L668" s="179">
        <v>3914.08</v>
      </c>
      <c r="M668" s="181">
        <f t="shared" si="192"/>
        <v>-12.67</v>
      </c>
      <c r="N668" s="182">
        <f t="shared" si="193"/>
        <v>-0.8</v>
      </c>
      <c r="O668" s="183">
        <f t="shared" si="194"/>
        <v>0</v>
      </c>
      <c r="P668" s="184">
        <f t="shared" si="195"/>
        <v>0</v>
      </c>
      <c r="Q668" s="184">
        <f t="shared" si="196"/>
        <v>-0.8</v>
      </c>
      <c r="R66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24622.5</v>
      </c>
      <c r="T66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26887.5</v>
      </c>
      <c r="U668" s="186">
        <f ca="1">IF(Tabla33610673[[#This Row],[Equity]]&lt;Tabla33610673[[#This Row],[Equity Peak]],(Tabla33610673[[#This Row],[Equity Peak]]-Tabla33610673[[#This Row],[Equity]])/Tabla33610673[[#This Row],[Equity Peak]],"")</f>
        <v>8.4239888423988843E-2</v>
      </c>
      <c r="V668" s="187">
        <f t="shared" si="197"/>
        <v>0</v>
      </c>
      <c r="W668" s="187">
        <f t="shared" si="198"/>
        <v>0</v>
      </c>
      <c r="X668" s="187">
        <f t="shared" si="199"/>
        <v>0</v>
      </c>
      <c r="Y668" s="187">
        <f t="shared" si="200"/>
        <v>0</v>
      </c>
      <c r="Z668" s="187">
        <f t="shared" si="201"/>
        <v>-0.8</v>
      </c>
      <c r="AA668" s="183">
        <f t="shared" si="202"/>
        <v>0</v>
      </c>
      <c r="AB668" s="187">
        <f t="shared" si="203"/>
        <v>0</v>
      </c>
      <c r="AC668" s="183">
        <f t="shared" si="204"/>
        <v>0</v>
      </c>
      <c r="AD668" s="188">
        <f t="shared" si="205"/>
        <v>2.1604166666656965</v>
      </c>
      <c r="AE668" s="188">
        <f t="shared" si="206"/>
        <v>0</v>
      </c>
      <c r="AF668" s="188">
        <f t="shared" si="207"/>
        <v>2.1604166666656965</v>
      </c>
      <c r="AG668" s="188">
        <f t="shared" si="208"/>
        <v>0</v>
      </c>
    </row>
    <row r="669" spans="2:33" ht="15" customHeight="1" x14ac:dyDescent="0.15">
      <c r="B669" s="174" t="s">
        <v>7</v>
      </c>
      <c r="C669" s="175" t="s">
        <v>15</v>
      </c>
      <c r="D669" s="176" t="str">
        <f t="shared" si="190"/>
        <v>C</v>
      </c>
      <c r="E669" s="177" t="d">
        <v>2021-02-19T15:45:00.000</v>
      </c>
      <c r="F669" s="178" t="s">
        <v>102</v>
      </c>
      <c r="G669" s="179">
        <v>147.97499999999999</v>
      </c>
      <c r="H669" s="179">
        <v>147.68899999999999</v>
      </c>
      <c r="I669" s="180">
        <f t="shared" si="191"/>
        <v>0.28600000000000136</v>
      </c>
      <c r="J669" s="179">
        <v>149.501</v>
      </c>
      <c r="K669" s="177" t="d">
        <v>2021-02-19T22:09:00.00000029336660775</v>
      </c>
      <c r="L669" s="179">
        <v>147.75</v>
      </c>
      <c r="M669" s="181">
        <f t="shared" si="192"/>
        <v>-0.22500000000000001</v>
      </c>
      <c r="N669" s="182">
        <f t="shared" si="193"/>
        <v>-0.79</v>
      </c>
      <c r="O669" s="183">
        <f t="shared" si="194"/>
        <v>0</v>
      </c>
      <c r="P669" s="184">
        <f t="shared" si="195"/>
        <v>0</v>
      </c>
      <c r="Q669" s="184">
        <f t="shared" si="196"/>
        <v>-0.79</v>
      </c>
      <c r="R66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24822.5</v>
      </c>
      <c r="T66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26887.5</v>
      </c>
      <c r="U669" s="186">
        <f ca="1">IF(Tabla33610673[[#This Row],[Equity]]&lt;Tabla33610673[[#This Row],[Equity Peak]],(Tabla33610673[[#This Row],[Equity Peak]]-Tabla33610673[[#This Row],[Equity]])/Tabla33610673[[#This Row],[Equity Peak]],"")</f>
        <v>7.6801487680148772E-2</v>
      </c>
      <c r="V669" s="187">
        <f t="shared" si="197"/>
        <v>-0.79</v>
      </c>
      <c r="W669" s="187">
        <f t="shared" si="198"/>
        <v>0</v>
      </c>
      <c r="X669" s="187">
        <f t="shared" si="199"/>
        <v>0</v>
      </c>
      <c r="Y669" s="187">
        <f t="shared" si="200"/>
        <v>0</v>
      </c>
      <c r="Z669" s="187">
        <f t="shared" si="201"/>
        <v>0</v>
      </c>
      <c r="AA669" s="183">
        <f t="shared" si="202"/>
        <v>0</v>
      </c>
      <c r="AB669" s="187">
        <f t="shared" si="203"/>
        <v>0</v>
      </c>
      <c r="AC669" s="183">
        <f t="shared" si="204"/>
        <v>0</v>
      </c>
      <c r="AD669" s="188">
        <f t="shared" si="205"/>
        <v>0.26666666667006211</v>
      </c>
      <c r="AE669" s="188">
        <f t="shared" si="206"/>
        <v>0</v>
      </c>
      <c r="AF669" s="188">
        <f t="shared" si="207"/>
        <v>0.26666666667006211</v>
      </c>
      <c r="AG669" s="188">
        <f t="shared" si="208"/>
        <v>0</v>
      </c>
    </row>
    <row r="670" spans="2:33" ht="15" customHeight="1" x14ac:dyDescent="0.15">
      <c r="B670" s="174" t="s">
        <v>5</v>
      </c>
      <c r="C670" s="175" t="s">
        <v>15</v>
      </c>
      <c r="D670" s="176" t="str">
        <f t="shared" si="190"/>
        <v>C</v>
      </c>
      <c r="E670" s="177" t="d">
        <v>2021-02-19T11:45:00.00000020954757600</v>
      </c>
      <c r="F670" s="178" t="s">
        <v>82</v>
      </c>
      <c r="G670" s="179">
        <v>3926.74</v>
      </c>
      <c r="H670" s="179">
        <v>3912.16</v>
      </c>
      <c r="I670" s="180">
        <f t="shared" si="191"/>
        <v>14.579999999999927</v>
      </c>
      <c r="J670" s="179">
        <v>4021.48</v>
      </c>
      <c r="K670" s="177" t="d">
        <v>2021-02-19T16:47:59.99999974854290475</v>
      </c>
      <c r="L670" s="179">
        <v>3918.11</v>
      </c>
      <c r="M670" s="181">
        <f t="shared" si="192"/>
        <v>-8.6300000000000008</v>
      </c>
      <c r="N670" s="182">
        <f t="shared" si="193"/>
        <v>-0.59</v>
      </c>
      <c r="O670" s="183">
        <f t="shared" si="194"/>
        <v>0</v>
      </c>
      <c r="P670" s="184">
        <f t="shared" si="195"/>
        <v>0</v>
      </c>
      <c r="Q670" s="184">
        <f t="shared" si="196"/>
        <v>-0.59</v>
      </c>
      <c r="R67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25020</v>
      </c>
      <c r="T67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26887.5</v>
      </c>
      <c r="U670" s="186">
        <f ca="1">IF(Tabla33610673[[#This Row],[Equity]]&lt;Tabla33610673[[#This Row],[Equity Peak]],(Tabla33610673[[#This Row],[Equity Peak]]-Tabla33610673[[#This Row],[Equity]])/Tabla33610673[[#This Row],[Equity Peak]],"")</f>
        <v>6.9456066945606701E-2</v>
      </c>
      <c r="V670" s="187">
        <f t="shared" si="197"/>
        <v>0</v>
      </c>
      <c r="W670" s="187">
        <f t="shared" si="198"/>
        <v>0</v>
      </c>
      <c r="X670" s="187">
        <f t="shared" si="199"/>
        <v>0</v>
      </c>
      <c r="Y670" s="187">
        <f t="shared" si="200"/>
        <v>0</v>
      </c>
      <c r="Z670" s="187">
        <f t="shared" si="201"/>
        <v>-0.59</v>
      </c>
      <c r="AA670" s="183">
        <f t="shared" si="202"/>
        <v>0</v>
      </c>
      <c r="AB670" s="187">
        <f t="shared" si="203"/>
        <v>0</v>
      </c>
      <c r="AC670" s="183">
        <f t="shared" si="204"/>
        <v>0</v>
      </c>
      <c r="AD670" s="188">
        <f t="shared" si="205"/>
        <v>0.21041666666133096</v>
      </c>
      <c r="AE670" s="188">
        <f t="shared" si="206"/>
        <v>0</v>
      </c>
      <c r="AF670" s="188">
        <f t="shared" si="207"/>
        <v>0.21041666666133096</v>
      </c>
      <c r="AG670" s="188">
        <f t="shared" si="208"/>
        <v>0</v>
      </c>
    </row>
    <row r="671" spans="2:33" ht="15" customHeight="1" x14ac:dyDescent="0.15">
      <c r="B671" s="174" t="s">
        <v>5</v>
      </c>
      <c r="C671" s="175" t="s">
        <v>15</v>
      </c>
      <c r="D671" s="176" t="str">
        <f t="shared" si="190"/>
        <v>C</v>
      </c>
      <c r="E671" s="177" t="d">
        <v>2021-02-19T15:59:59.99999979045242400</v>
      </c>
      <c r="F671" s="178" t="s">
        <v>81</v>
      </c>
      <c r="G671" s="179">
        <v>13728.85</v>
      </c>
      <c r="H671" s="179">
        <v>13666.8</v>
      </c>
      <c r="I671" s="180">
        <f t="shared" si="191"/>
        <v>62.050000000001091</v>
      </c>
      <c r="J671" s="179">
        <v>14101.14</v>
      </c>
      <c r="K671" s="177" t="d">
        <v>2021-02-19T16:38:59.99999987427145575</v>
      </c>
      <c r="L671" s="179">
        <v>13666.8</v>
      </c>
      <c r="M671" s="181">
        <f t="shared" si="192"/>
        <v>-62.05</v>
      </c>
      <c r="N671" s="182">
        <f t="shared" si="193"/>
        <v>-1</v>
      </c>
      <c r="O671" s="183">
        <f t="shared" si="194"/>
        <v>0</v>
      </c>
      <c r="P671" s="184">
        <f t="shared" si="195"/>
        <v>0</v>
      </c>
      <c r="Q671" s="184">
        <f t="shared" si="196"/>
        <v>-1</v>
      </c>
      <c r="R67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25167.5</v>
      </c>
      <c r="T67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26887.5</v>
      </c>
      <c r="U671" s="186">
        <f ca="1">IF(Tabla33610673[[#This Row],[Equity]]&lt;Tabla33610673[[#This Row],[Equity Peak]],(Tabla33610673[[#This Row],[Equity Peak]]-Tabla33610673[[#This Row],[Equity]])/Tabla33610673[[#This Row],[Equity Peak]],"")</f>
        <v>6.3970246397024644E-2</v>
      </c>
      <c r="V671" s="187">
        <f t="shared" si="197"/>
        <v>0</v>
      </c>
      <c r="W671" s="187">
        <f t="shared" si="198"/>
        <v>0</v>
      </c>
      <c r="X671" s="187">
        <f t="shared" si="199"/>
        <v>0</v>
      </c>
      <c r="Y671" s="187">
        <f t="shared" si="200"/>
        <v>0</v>
      </c>
      <c r="Z671" s="187">
        <f t="shared" si="201"/>
        <v>-1</v>
      </c>
      <c r="AA671" s="183">
        <f t="shared" si="202"/>
        <v>0</v>
      </c>
      <c r="AB671" s="187">
        <f t="shared" si="203"/>
        <v>0</v>
      </c>
      <c r="AC671" s="183">
        <f t="shared" si="204"/>
        <v>0</v>
      </c>
      <c r="AD671" s="188">
        <f t="shared" si="205"/>
        <v>2.7083333334303461E-2</v>
      </c>
      <c r="AE671" s="188">
        <f t="shared" si="206"/>
        <v>0</v>
      </c>
      <c r="AF671" s="188">
        <f t="shared" si="207"/>
        <v>2.7083333334303461E-2</v>
      </c>
      <c r="AG671" s="188">
        <f t="shared" si="208"/>
        <v>0</v>
      </c>
    </row>
    <row r="672" spans="2:33" ht="15" customHeight="1" x14ac:dyDescent="0.15">
      <c r="B672" s="174" t="s">
        <v>5</v>
      </c>
      <c r="C672" s="175" t="s">
        <v>13</v>
      </c>
      <c r="D672" s="176" t="str">
        <f t="shared" si="190"/>
        <v>C</v>
      </c>
      <c r="E672" s="177" t="d">
        <v>2021-02-18T17:29:59.99999979045242400</v>
      </c>
      <c r="F672" s="178" t="s">
        <v>81</v>
      </c>
      <c r="G672" s="179">
        <v>13498.95</v>
      </c>
      <c r="H672" s="179">
        <v>13559.61</v>
      </c>
      <c r="I672" s="180">
        <f t="shared" si="191"/>
        <v>60.659999999999854</v>
      </c>
      <c r="J672" s="179">
        <v>13134.96</v>
      </c>
      <c r="K672" s="177" t="d">
        <v>2021-02-18T18:20:00.00000013969838625</v>
      </c>
      <c r="L672" s="179">
        <v>13559.61</v>
      </c>
      <c r="M672" s="181">
        <f t="shared" si="192"/>
        <v>-60.66</v>
      </c>
      <c r="N672" s="182">
        <f t="shared" si="193"/>
        <v>-1</v>
      </c>
      <c r="O672" s="183">
        <f t="shared" si="194"/>
        <v>0</v>
      </c>
      <c r="P672" s="184">
        <f t="shared" si="195"/>
        <v>0</v>
      </c>
      <c r="Q672" s="184">
        <f t="shared" si="196"/>
        <v>-1</v>
      </c>
      <c r="R67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25417.5</v>
      </c>
      <c r="T67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26887.5</v>
      </c>
      <c r="U672" s="186">
        <f ca="1">IF(Tabla33610673[[#This Row],[Equity]]&lt;Tabla33610673[[#This Row],[Equity Peak]],(Tabla33610673[[#This Row],[Equity Peak]]-Tabla33610673[[#This Row],[Equity]])/Tabla33610673[[#This Row],[Equity Peak]],"")</f>
        <v>5.4672245467224545E-2</v>
      </c>
      <c r="V672" s="187">
        <f t="shared" si="197"/>
        <v>0</v>
      </c>
      <c r="W672" s="187">
        <f t="shared" si="198"/>
        <v>0</v>
      </c>
      <c r="X672" s="187">
        <f t="shared" si="199"/>
        <v>0</v>
      </c>
      <c r="Y672" s="187">
        <f t="shared" si="200"/>
        <v>0</v>
      </c>
      <c r="Z672" s="187">
        <f t="shared" si="201"/>
        <v>-1</v>
      </c>
      <c r="AA672" s="183">
        <f t="shared" si="202"/>
        <v>0</v>
      </c>
      <c r="AB672" s="187">
        <f t="shared" si="203"/>
        <v>0</v>
      </c>
      <c r="AC672" s="183">
        <f t="shared" si="204"/>
        <v>0</v>
      </c>
      <c r="AD672" s="188">
        <f t="shared" si="205"/>
        <v>3.4722222226264421E-2</v>
      </c>
      <c r="AE672" s="188">
        <f t="shared" si="206"/>
        <v>0</v>
      </c>
      <c r="AF672" s="188">
        <f t="shared" si="207"/>
        <v>3.4722222226264421E-2</v>
      </c>
      <c r="AG672" s="188">
        <f t="shared" si="208"/>
        <v>0</v>
      </c>
    </row>
    <row r="673" spans="2:33" ht="15" customHeight="1" x14ac:dyDescent="0.15">
      <c r="B673" s="174" t="s">
        <v>5</v>
      </c>
      <c r="C673" s="175" t="s">
        <v>13</v>
      </c>
      <c r="D673" s="176" t="str">
        <f t="shared" si="190"/>
        <v>C</v>
      </c>
      <c r="E673" s="177" t="d">
        <v>2021-02-18T15:45:00.000</v>
      </c>
      <c r="F673" s="178" t="s">
        <v>82</v>
      </c>
      <c r="G673" s="179">
        <v>3907.08</v>
      </c>
      <c r="H673" s="179">
        <v>3920.3</v>
      </c>
      <c r="I673" s="180">
        <f t="shared" si="191"/>
        <v>13.220000000000255</v>
      </c>
      <c r="J673" s="179">
        <v>3821.13</v>
      </c>
      <c r="K673" s="177" t="d">
        <v>2021-02-18T18:15:59.99999998603016475</v>
      </c>
      <c r="L673" s="179">
        <v>3905.43</v>
      </c>
      <c r="M673" s="181">
        <f t="shared" si="192"/>
        <v>1.65</v>
      </c>
      <c r="N673" s="182">
        <f t="shared" si="193"/>
        <v>0.12</v>
      </c>
      <c r="O673" s="183">
        <f t="shared" si="194"/>
        <v>0</v>
      </c>
      <c r="P673" s="184">
        <f t="shared" si="195"/>
        <v>0.12</v>
      </c>
      <c r="Q673" s="184">
        <f t="shared" si="196"/>
        <v>0</v>
      </c>
      <c r="R67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25667.5</v>
      </c>
      <c r="T67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26887.5</v>
      </c>
      <c r="U673" s="186">
        <f ca="1">IF(Tabla33610673[[#This Row],[Equity]]&lt;Tabla33610673[[#This Row],[Equity Peak]],(Tabla33610673[[#This Row],[Equity Peak]]-Tabla33610673[[#This Row],[Equity]])/Tabla33610673[[#This Row],[Equity Peak]],"")</f>
        <v>4.5374244537424453E-2</v>
      </c>
      <c r="V673" s="187">
        <f t="shared" si="197"/>
        <v>0</v>
      </c>
      <c r="W673" s="187">
        <f t="shared" si="198"/>
        <v>0</v>
      </c>
      <c r="X673" s="187">
        <f t="shared" si="199"/>
        <v>0</v>
      </c>
      <c r="Y673" s="187">
        <f t="shared" si="200"/>
        <v>0</v>
      </c>
      <c r="Z673" s="187">
        <f t="shared" si="201"/>
        <v>0.12</v>
      </c>
      <c r="AA673" s="183">
        <f t="shared" si="202"/>
        <v>0</v>
      </c>
      <c r="AB673" s="187">
        <f t="shared" si="203"/>
        <v>0</v>
      </c>
      <c r="AC673" s="183">
        <f t="shared" si="204"/>
        <v>0</v>
      </c>
      <c r="AD673" s="188">
        <f t="shared" si="205"/>
        <v>0.10486111111094942</v>
      </c>
      <c r="AE673" s="188">
        <f t="shared" si="206"/>
        <v>0.10486111111094942</v>
      </c>
      <c r="AF673" s="188">
        <f t="shared" si="207"/>
        <v>0</v>
      </c>
      <c r="AG673" s="188">
        <f t="shared" si="208"/>
        <v>0</v>
      </c>
    </row>
    <row r="674" spans="2:33" ht="15" customHeight="1" x14ac:dyDescent="0.15">
      <c r="B674" s="174" t="s">
        <v>7</v>
      </c>
      <c r="C674" s="175" t="s">
        <v>15</v>
      </c>
      <c r="D674" s="176" t="str">
        <f t="shared" si="190"/>
        <v>C</v>
      </c>
      <c r="E674" s="177" t="d">
        <v>2021-02-18T15:45:00.000</v>
      </c>
      <c r="F674" s="178" t="s">
        <v>102</v>
      </c>
      <c r="G674" s="179">
        <v>147.73099999999999</v>
      </c>
      <c r="H674" s="179">
        <v>147.434</v>
      </c>
      <c r="I674" s="180">
        <f t="shared" si="191"/>
        <v>0.29699999999999704</v>
      </c>
      <c r="J674" s="179">
        <v>149.315</v>
      </c>
      <c r="K674" s="177" t="d">
        <v>2021-02-18T17:23:00.00000030733644975</v>
      </c>
      <c r="L674" s="179">
        <v>147.434</v>
      </c>
      <c r="M674" s="181">
        <f t="shared" si="192"/>
        <v>-0.29699999999999999</v>
      </c>
      <c r="N674" s="182">
        <f t="shared" si="193"/>
        <v>-1</v>
      </c>
      <c r="O674" s="183">
        <f t="shared" si="194"/>
        <v>0</v>
      </c>
      <c r="P674" s="184">
        <f t="shared" si="195"/>
        <v>0</v>
      </c>
      <c r="Q674" s="184">
        <f t="shared" si="196"/>
        <v>-1</v>
      </c>
      <c r="R67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25637.5</v>
      </c>
      <c r="T67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26887.5</v>
      </c>
      <c r="U674" s="186">
        <f ca="1">IF(Tabla33610673[[#This Row],[Equity]]&lt;Tabla33610673[[#This Row],[Equity Peak]],(Tabla33610673[[#This Row],[Equity Peak]]-Tabla33610673[[#This Row],[Equity]])/Tabla33610673[[#This Row],[Equity Peak]],"")</f>
        <v>4.6490004649000466E-2</v>
      </c>
      <c r="V674" s="187">
        <f t="shared" si="197"/>
        <v>-1</v>
      </c>
      <c r="W674" s="187">
        <f t="shared" si="198"/>
        <v>0</v>
      </c>
      <c r="X674" s="187">
        <f t="shared" si="199"/>
        <v>0</v>
      </c>
      <c r="Y674" s="187">
        <f t="shared" si="200"/>
        <v>0</v>
      </c>
      <c r="Z674" s="187">
        <f t="shared" si="201"/>
        <v>0</v>
      </c>
      <c r="AA674" s="183">
        <f t="shared" si="202"/>
        <v>0</v>
      </c>
      <c r="AB674" s="187">
        <f t="shared" si="203"/>
        <v>0</v>
      </c>
      <c r="AC674" s="183">
        <f t="shared" si="204"/>
        <v>0</v>
      </c>
      <c r="AD674" s="188">
        <f t="shared" si="205"/>
        <v>6.805555555911269E-2</v>
      </c>
      <c r="AE674" s="188">
        <f t="shared" si="206"/>
        <v>0</v>
      </c>
      <c r="AF674" s="188">
        <f t="shared" si="207"/>
        <v>6.805555555911269E-2</v>
      </c>
      <c r="AG674" s="188">
        <f t="shared" si="208"/>
        <v>0</v>
      </c>
    </row>
    <row r="675" spans="2:33" ht="15" customHeight="1" x14ac:dyDescent="0.15">
      <c r="B675" s="174" t="s">
        <v>19</v>
      </c>
      <c r="C675" s="175" t="s">
        <v>15</v>
      </c>
      <c r="D675" s="176" t="str">
        <f t="shared" si="190"/>
        <v>C</v>
      </c>
      <c r="E675" s="177" t="d">
        <v>2021-02-18T11:00:00.00000020954757600</v>
      </c>
      <c r="F675" s="178" t="s">
        <v>77</v>
      </c>
      <c r="G675" s="179">
        <v>1787.92</v>
      </c>
      <c r="H675" s="179">
        <v>1782.05</v>
      </c>
      <c r="I675" s="180">
        <f t="shared" si="191"/>
        <v>5.8700000000001182</v>
      </c>
      <c r="J675" s="179">
        <v>1816.08</v>
      </c>
      <c r="K675" s="177" t="d">
        <v>2021-02-18T12:24:00.00000029336660775</v>
      </c>
      <c r="L675" s="179">
        <v>1782.05</v>
      </c>
      <c r="M675" s="181">
        <f t="shared" si="192"/>
        <v>-5.87</v>
      </c>
      <c r="N675" s="182">
        <f t="shared" si="193"/>
        <v>-1</v>
      </c>
      <c r="O675" s="183">
        <f t="shared" si="194"/>
        <v>0</v>
      </c>
      <c r="P675" s="184">
        <f t="shared" si="195"/>
        <v>0</v>
      </c>
      <c r="Q675" s="184">
        <f t="shared" si="196"/>
        <v>-1</v>
      </c>
      <c r="R67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25887.5</v>
      </c>
      <c r="T67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26887.5</v>
      </c>
      <c r="U675" s="186">
        <f ca="1">IF(Tabla33610673[[#This Row],[Equity]]&lt;Tabla33610673[[#This Row],[Equity Peak]],(Tabla33610673[[#This Row],[Equity Peak]]-Tabla33610673[[#This Row],[Equity]])/Tabla33610673[[#This Row],[Equity Peak]],"")</f>
        <v>3.7192003719200374E-2</v>
      </c>
      <c r="V675" s="187">
        <f t="shared" si="197"/>
        <v>0</v>
      </c>
      <c r="W675" s="187">
        <f t="shared" si="198"/>
        <v>0</v>
      </c>
      <c r="X675" s="187">
        <f t="shared" si="199"/>
        <v>-1</v>
      </c>
      <c r="Y675" s="187">
        <f t="shared" si="200"/>
        <v>0</v>
      </c>
      <c r="Z675" s="187">
        <f t="shared" si="201"/>
        <v>0</v>
      </c>
      <c r="AA675" s="183">
        <f t="shared" si="202"/>
        <v>0</v>
      </c>
      <c r="AB675" s="187">
        <f t="shared" si="203"/>
        <v>0</v>
      </c>
      <c r="AC675" s="183">
        <f t="shared" si="204"/>
        <v>0</v>
      </c>
      <c r="AD675" s="188">
        <f t="shared" si="205"/>
        <v>5.8333333334303461E-2</v>
      </c>
      <c r="AE675" s="188">
        <f t="shared" si="206"/>
        <v>0</v>
      </c>
      <c r="AF675" s="188">
        <f t="shared" si="207"/>
        <v>5.8333333334303461E-2</v>
      </c>
      <c r="AG675" s="188">
        <f t="shared" si="208"/>
        <v>0</v>
      </c>
    </row>
    <row r="676" spans="2:33" ht="15" customHeight="1" x14ac:dyDescent="0.15">
      <c r="B676" s="174" t="s">
        <v>5</v>
      </c>
      <c r="C676" s="175" t="s">
        <v>15</v>
      </c>
      <c r="D676" s="176" t="str">
        <f t="shared" si="190"/>
        <v>C</v>
      </c>
      <c r="E676" s="177" t="d">
        <v>2021-02-18T02:15:00.000</v>
      </c>
      <c r="F676" s="178" t="s">
        <v>82</v>
      </c>
      <c r="G676" s="179">
        <v>3938.49</v>
      </c>
      <c r="H676" s="179">
        <v>3925.06</v>
      </c>
      <c r="I676" s="180">
        <f t="shared" si="191"/>
        <v>13.429999999999836</v>
      </c>
      <c r="J676" s="179">
        <v>4025.75</v>
      </c>
      <c r="K676" s="177" t="d">
        <v>2021-02-18T05:36:59.99999990221113300</v>
      </c>
      <c r="L676" s="179">
        <v>3925.06</v>
      </c>
      <c r="M676" s="181">
        <f t="shared" si="192"/>
        <v>-13.43</v>
      </c>
      <c r="N676" s="182">
        <f t="shared" si="193"/>
        <v>-1</v>
      </c>
      <c r="O676" s="183">
        <f t="shared" si="194"/>
        <v>0</v>
      </c>
      <c r="P676" s="184">
        <f t="shared" si="195"/>
        <v>0</v>
      </c>
      <c r="Q676" s="184">
        <f t="shared" si="196"/>
        <v>-1</v>
      </c>
      <c r="R67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26137.5</v>
      </c>
      <c r="T67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26887.5</v>
      </c>
      <c r="U676" s="186">
        <f ca="1">IF(Tabla33610673[[#This Row],[Equity]]&lt;Tabla33610673[[#This Row],[Equity Peak]],(Tabla33610673[[#This Row],[Equity Peak]]-Tabla33610673[[#This Row],[Equity]])/Tabla33610673[[#This Row],[Equity Peak]],"")</f>
        <v>2.7894002789400279E-2</v>
      </c>
      <c r="V676" s="187">
        <f t="shared" si="197"/>
        <v>0</v>
      </c>
      <c r="W676" s="187">
        <f t="shared" si="198"/>
        <v>0</v>
      </c>
      <c r="X676" s="187">
        <f t="shared" si="199"/>
        <v>0</v>
      </c>
      <c r="Y676" s="187">
        <f t="shared" si="200"/>
        <v>0</v>
      </c>
      <c r="Z676" s="187">
        <f t="shared" si="201"/>
        <v>-1</v>
      </c>
      <c r="AA676" s="183">
        <f t="shared" si="202"/>
        <v>0</v>
      </c>
      <c r="AB676" s="187">
        <f t="shared" si="203"/>
        <v>0</v>
      </c>
      <c r="AC676" s="183">
        <f t="shared" si="204"/>
        <v>0</v>
      </c>
      <c r="AD676" s="188">
        <f t="shared" si="205"/>
        <v>0.14027777777664596</v>
      </c>
      <c r="AE676" s="188">
        <f t="shared" si="206"/>
        <v>0</v>
      </c>
      <c r="AF676" s="188">
        <f t="shared" si="207"/>
        <v>0.14027777777664596</v>
      </c>
      <c r="AG676" s="188">
        <f t="shared" si="208"/>
        <v>0</v>
      </c>
    </row>
    <row r="677" spans="2:33" ht="15" customHeight="1" x14ac:dyDescent="0.15">
      <c r="B677" s="174" t="s">
        <v>5</v>
      </c>
      <c r="C677" s="175" t="s">
        <v>13</v>
      </c>
      <c r="D677" s="176" t="str">
        <f t="shared" si="190"/>
        <v>C</v>
      </c>
      <c r="E677" s="177" t="d">
        <v>2021-02-17T18:14:59.99999979045242400</v>
      </c>
      <c r="F677" s="178" t="s">
        <v>80</v>
      </c>
      <c r="G677" s="179">
        <v>13905.36</v>
      </c>
      <c r="H677" s="179">
        <v>13960.78</v>
      </c>
      <c r="I677" s="180">
        <f t="shared" si="191"/>
        <v>55.420000000000073</v>
      </c>
      <c r="J677" s="179">
        <v>13498.97</v>
      </c>
      <c r="K677" s="177" t="d">
        <v>2021-02-17T22:21:59.99999969266355025</v>
      </c>
      <c r="L677" s="179">
        <v>13960.78</v>
      </c>
      <c r="M677" s="181">
        <f t="shared" si="192"/>
        <v>-55.42</v>
      </c>
      <c r="N677" s="182">
        <f t="shared" si="193"/>
        <v>-1</v>
      </c>
      <c r="O677" s="183">
        <f t="shared" si="194"/>
        <v>0</v>
      </c>
      <c r="P677" s="184">
        <f t="shared" si="195"/>
        <v>0</v>
      </c>
      <c r="Q677" s="184">
        <f t="shared" si="196"/>
        <v>-1</v>
      </c>
      <c r="R67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26387.5</v>
      </c>
      <c r="T67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26887.5</v>
      </c>
      <c r="U677" s="186">
        <f ca="1">IF(Tabla33610673[[#This Row],[Equity]]&lt;Tabla33610673[[#This Row],[Equity Peak]],(Tabla33610673[[#This Row],[Equity Peak]]-Tabla33610673[[#This Row],[Equity]])/Tabla33610673[[#This Row],[Equity Peak]],"")</f>
        <v>1.8596001859600187E-2</v>
      </c>
      <c r="V677" s="187">
        <f t="shared" si="197"/>
        <v>0</v>
      </c>
      <c r="W677" s="187">
        <f t="shared" si="198"/>
        <v>0</v>
      </c>
      <c r="X677" s="187">
        <f t="shared" si="199"/>
        <v>0</v>
      </c>
      <c r="Y677" s="187">
        <f t="shared" si="200"/>
        <v>0</v>
      </c>
      <c r="Z677" s="187">
        <f t="shared" si="201"/>
        <v>-1</v>
      </c>
      <c r="AA677" s="183">
        <f t="shared" si="202"/>
        <v>0</v>
      </c>
      <c r="AB677" s="187">
        <f t="shared" si="203"/>
        <v>0</v>
      </c>
      <c r="AC677" s="183">
        <f t="shared" si="204"/>
        <v>0</v>
      </c>
      <c r="AD677" s="188">
        <f t="shared" si="205"/>
        <v>0.17152777777664596</v>
      </c>
      <c r="AE677" s="188">
        <f t="shared" si="206"/>
        <v>0</v>
      </c>
      <c r="AF677" s="188">
        <f t="shared" si="207"/>
        <v>0.17152777777664596</v>
      </c>
      <c r="AG677" s="188">
        <f t="shared" si="208"/>
        <v>0</v>
      </c>
    </row>
    <row r="678" spans="2:33" ht="15" customHeight="1" x14ac:dyDescent="0.15">
      <c r="B678" s="174" t="s">
        <v>5</v>
      </c>
      <c r="C678" s="175" t="s">
        <v>13</v>
      </c>
      <c r="D678" s="176" t="str">
        <f t="shared" si="190"/>
        <v>C</v>
      </c>
      <c r="E678" s="177" t="d">
        <v>2021-02-17T16:15:00.00000020954757600</v>
      </c>
      <c r="F678" s="178" t="s">
        <v>82</v>
      </c>
      <c r="G678" s="179">
        <v>3911.15</v>
      </c>
      <c r="H678" s="179">
        <v>3923.55</v>
      </c>
      <c r="I678" s="180">
        <f t="shared" si="191"/>
        <v>12.400000000000091</v>
      </c>
      <c r="J678" s="179">
        <v>3830.55</v>
      </c>
      <c r="K678" s="177" t="d">
        <v>2021-02-17T16:54:00.00000029336660775</v>
      </c>
      <c r="L678" s="179">
        <v>3923.55</v>
      </c>
      <c r="M678" s="181">
        <f t="shared" si="192"/>
        <v>-12.4</v>
      </c>
      <c r="N678" s="182">
        <f t="shared" si="193"/>
        <v>-1</v>
      </c>
      <c r="O678" s="183">
        <f t="shared" si="194"/>
        <v>0</v>
      </c>
      <c r="P678" s="184">
        <f t="shared" si="195"/>
        <v>0</v>
      </c>
      <c r="Q678" s="184">
        <f t="shared" si="196"/>
        <v>-1</v>
      </c>
      <c r="R67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26637.5</v>
      </c>
      <c r="T67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26887.5</v>
      </c>
      <c r="U678" s="186">
        <f ca="1">IF(Tabla33610673[[#This Row],[Equity]]&lt;Tabla33610673[[#This Row],[Equity Peak]],(Tabla33610673[[#This Row],[Equity Peak]]-Tabla33610673[[#This Row],[Equity]])/Tabla33610673[[#This Row],[Equity Peak]],"")</f>
        <v>9.2980009298000935E-3</v>
      </c>
      <c r="V678" s="187">
        <f t="shared" si="197"/>
        <v>0</v>
      </c>
      <c r="W678" s="187">
        <f t="shared" si="198"/>
        <v>0</v>
      </c>
      <c r="X678" s="187">
        <f t="shared" si="199"/>
        <v>0</v>
      </c>
      <c r="Y678" s="187">
        <f t="shared" si="200"/>
        <v>0</v>
      </c>
      <c r="Z678" s="187">
        <f t="shared" si="201"/>
        <v>-1</v>
      </c>
      <c r="AA678" s="183">
        <f t="shared" si="202"/>
        <v>0</v>
      </c>
      <c r="AB678" s="187">
        <f t="shared" si="203"/>
        <v>0</v>
      </c>
      <c r="AC678" s="183">
        <f t="shared" si="204"/>
        <v>0</v>
      </c>
      <c r="AD678" s="188">
        <f t="shared" si="205"/>
        <v>2.7083333334303461E-2</v>
      </c>
      <c r="AE678" s="188">
        <f t="shared" si="206"/>
        <v>0</v>
      </c>
      <c r="AF678" s="188">
        <f t="shared" si="207"/>
        <v>2.7083333334303461E-2</v>
      </c>
      <c r="AG678" s="188">
        <f t="shared" si="208"/>
        <v>0</v>
      </c>
    </row>
    <row r="679" spans="2:33" ht="15" customHeight="1" x14ac:dyDescent="0.15">
      <c r="B679" s="174" t="s">
        <v>7</v>
      </c>
      <c r="C679" s="175" t="s">
        <v>15</v>
      </c>
      <c r="D679" s="176" t="str">
        <f t="shared" si="190"/>
        <v>C</v>
      </c>
      <c r="E679" s="177" t="d">
        <v>2021-02-16T16:30:00.000</v>
      </c>
      <c r="F679" s="178" t="s">
        <v>103</v>
      </c>
      <c r="G679" s="179">
        <v>105.78100000000001</v>
      </c>
      <c r="H679" s="179">
        <v>105.63500000000001</v>
      </c>
      <c r="I679" s="180">
        <f t="shared" si="191"/>
        <v>0.1460000000000008</v>
      </c>
      <c r="J679" s="179">
        <v>106.697</v>
      </c>
      <c r="K679" s="177" t="d">
        <v>2021-02-17T03:53:59.99999987427145575</v>
      </c>
      <c r="L679" s="179">
        <v>106.002</v>
      </c>
      <c r="M679" s="181">
        <f t="shared" si="192"/>
        <v>0.221</v>
      </c>
      <c r="N679" s="182">
        <f t="shared" si="193"/>
        <v>1.51</v>
      </c>
      <c r="O679" s="183">
        <f t="shared" si="194"/>
        <v>0</v>
      </c>
      <c r="P679" s="184">
        <f t="shared" si="195"/>
        <v>1.51</v>
      </c>
      <c r="Q679" s="184">
        <f t="shared" si="196"/>
        <v>0</v>
      </c>
      <c r="R67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26887.5</v>
      </c>
      <c r="T67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26887.5</v>
      </c>
      <c r="U679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679" s="187">
        <f t="shared" si="197"/>
        <v>1.51</v>
      </c>
      <c r="W679" s="187">
        <f t="shared" si="198"/>
        <v>0</v>
      </c>
      <c r="X679" s="187">
        <f t="shared" si="199"/>
        <v>0</v>
      </c>
      <c r="Y679" s="187">
        <f t="shared" si="200"/>
        <v>0</v>
      </c>
      <c r="Z679" s="187">
        <f t="shared" si="201"/>
        <v>0</v>
      </c>
      <c r="AA679" s="183">
        <f t="shared" si="202"/>
        <v>0</v>
      </c>
      <c r="AB679" s="187">
        <f t="shared" si="203"/>
        <v>0</v>
      </c>
      <c r="AC679" s="183">
        <f t="shared" si="204"/>
        <v>0</v>
      </c>
      <c r="AD679" s="188">
        <f t="shared" si="205"/>
        <v>0.47499999999854481</v>
      </c>
      <c r="AE679" s="188">
        <f t="shared" si="206"/>
        <v>0.47499999999854481</v>
      </c>
      <c r="AF679" s="188">
        <f t="shared" si="207"/>
        <v>0</v>
      </c>
      <c r="AG679" s="188">
        <f t="shared" si="208"/>
        <v>0</v>
      </c>
    </row>
    <row r="680" spans="2:33" ht="15" customHeight="1" x14ac:dyDescent="0.15">
      <c r="B680" s="174" t="s">
        <v>7</v>
      </c>
      <c r="C680" s="175" t="s">
        <v>15</v>
      </c>
      <c r="D680" s="176" t="str">
        <f t="shared" si="190"/>
        <v>C</v>
      </c>
      <c r="E680" s="177" t="d">
        <v>2021-02-16T19:30:00.000</v>
      </c>
      <c r="F680" s="178" t="s">
        <v>102</v>
      </c>
      <c r="G680" s="179">
        <v>147.34899999999999</v>
      </c>
      <c r="H680" s="179">
        <v>147.06700000000001</v>
      </c>
      <c r="I680" s="180">
        <f t="shared" si="191"/>
        <v>0.28199999999998226</v>
      </c>
      <c r="J680" s="179">
        <v>148.852</v>
      </c>
      <c r="K680" s="177" t="d">
        <v>2021-02-17T03:30:59.99999977648258200</v>
      </c>
      <c r="L680" s="179">
        <v>147.107</v>
      </c>
      <c r="M680" s="181">
        <f t="shared" si="192"/>
        <v>-0.24199999999999999</v>
      </c>
      <c r="N680" s="182">
        <f t="shared" si="193"/>
        <v>-0.86</v>
      </c>
      <c r="O680" s="183">
        <f t="shared" si="194"/>
        <v>0</v>
      </c>
      <c r="P680" s="184">
        <f t="shared" si="195"/>
        <v>0</v>
      </c>
      <c r="Q680" s="184">
        <f t="shared" si="196"/>
        <v>-0.86</v>
      </c>
      <c r="R68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26510</v>
      </c>
      <c r="T68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26725</v>
      </c>
      <c r="U680" s="186">
        <f ca="1">IF(Tabla33610673[[#This Row],[Equity]]&lt;Tabla33610673[[#This Row],[Equity Peak]],(Tabla33610673[[#This Row],[Equity Peak]]-Tabla33610673[[#This Row],[Equity]])/Tabla33610673[[#This Row],[Equity Peak]],"")</f>
        <v>8.0449017773620204E-3</v>
      </c>
      <c r="V680" s="187">
        <f t="shared" si="197"/>
        <v>-0.86</v>
      </c>
      <c r="W680" s="187">
        <f t="shared" si="198"/>
        <v>0</v>
      </c>
      <c r="X680" s="187">
        <f t="shared" si="199"/>
        <v>0</v>
      </c>
      <c r="Y680" s="187">
        <f t="shared" si="200"/>
        <v>0</v>
      </c>
      <c r="Z680" s="187">
        <f t="shared" si="201"/>
        <v>0</v>
      </c>
      <c r="AA680" s="183">
        <f t="shared" si="202"/>
        <v>0</v>
      </c>
      <c r="AB680" s="187">
        <f t="shared" si="203"/>
        <v>0</v>
      </c>
      <c r="AC680" s="183">
        <f t="shared" si="204"/>
        <v>0</v>
      </c>
      <c r="AD680" s="188">
        <f t="shared" si="205"/>
        <v>0.33402777777519077</v>
      </c>
      <c r="AE680" s="188">
        <f t="shared" si="206"/>
        <v>0</v>
      </c>
      <c r="AF680" s="188">
        <f t="shared" si="207"/>
        <v>0.33402777777519077</v>
      </c>
      <c r="AG680" s="188">
        <f t="shared" si="208"/>
        <v>0</v>
      </c>
    </row>
    <row r="681" spans="2:33" ht="15" customHeight="1" x14ac:dyDescent="0.15">
      <c r="B681" s="174" t="s">
        <v>5</v>
      </c>
      <c r="C681" s="175" t="s">
        <v>15</v>
      </c>
      <c r="D681" s="176" t="str">
        <f t="shared" si="190"/>
        <v>C</v>
      </c>
      <c r="E681" s="177" t="d">
        <v>2021-02-12T17:45:00.00000020954757600</v>
      </c>
      <c r="F681" s="178" t="s">
        <v>82</v>
      </c>
      <c r="G681" s="179">
        <v>3924.21</v>
      </c>
      <c r="H681" s="179">
        <v>3911.14</v>
      </c>
      <c r="I681" s="180">
        <f t="shared" si="191"/>
        <v>13.070000000000164</v>
      </c>
      <c r="J681" s="179">
        <v>4009.18</v>
      </c>
      <c r="K681" s="177" t="d">
        <v>2021-02-16T11:32:59.99999974854290475</v>
      </c>
      <c r="L681" s="179">
        <v>3950.19</v>
      </c>
      <c r="M681" s="181">
        <f t="shared" si="192"/>
        <v>25.98</v>
      </c>
      <c r="N681" s="182">
        <f t="shared" si="193"/>
        <v>1.99</v>
      </c>
      <c r="O681" s="183">
        <f t="shared" si="194"/>
        <v>0</v>
      </c>
      <c r="P681" s="184">
        <f t="shared" si="195"/>
        <v>1.99</v>
      </c>
      <c r="Q681" s="184">
        <f t="shared" si="196"/>
        <v>0</v>
      </c>
      <c r="R68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26725</v>
      </c>
      <c r="T68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26725</v>
      </c>
      <c r="U681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681" s="187">
        <f t="shared" si="197"/>
        <v>0</v>
      </c>
      <c r="W681" s="187">
        <f t="shared" si="198"/>
        <v>0</v>
      </c>
      <c r="X681" s="187">
        <f t="shared" si="199"/>
        <v>0</v>
      </c>
      <c r="Y681" s="187">
        <f t="shared" si="200"/>
        <v>0</v>
      </c>
      <c r="Z681" s="187">
        <f t="shared" si="201"/>
        <v>1.99</v>
      </c>
      <c r="AA681" s="183">
        <f t="shared" si="202"/>
        <v>0</v>
      </c>
      <c r="AB681" s="187">
        <f t="shared" si="203"/>
        <v>0</v>
      </c>
      <c r="AC681" s="183">
        <f t="shared" si="204"/>
        <v>0</v>
      </c>
      <c r="AD681" s="188">
        <f t="shared" si="205"/>
        <v>3.741666666661331</v>
      </c>
      <c r="AE681" s="188">
        <f t="shared" si="206"/>
        <v>3.741666666661331</v>
      </c>
      <c r="AF681" s="188">
        <f t="shared" si="207"/>
        <v>0</v>
      </c>
      <c r="AG681" s="188">
        <f t="shared" si="208"/>
        <v>0</v>
      </c>
    </row>
    <row r="682" spans="2:33" ht="15" customHeight="1" x14ac:dyDescent="0.15">
      <c r="B682" s="174" t="s">
        <v>19</v>
      </c>
      <c r="C682" s="175" t="s">
        <v>15</v>
      </c>
      <c r="D682" s="176" t="str">
        <f t="shared" si="190"/>
        <v>C</v>
      </c>
      <c r="E682" s="177" t="d">
        <v>2021-02-16T03:45:00.000</v>
      </c>
      <c r="F682" s="178" t="s">
        <v>77</v>
      </c>
      <c r="G682" s="179">
        <v>1824.61</v>
      </c>
      <c r="H682" s="179">
        <v>1819.13</v>
      </c>
      <c r="I682" s="180">
        <f t="shared" si="191"/>
        <v>5.4799999999997908</v>
      </c>
      <c r="J682" s="179">
        <v>1850.91</v>
      </c>
      <c r="K682" s="177" t="d">
        <v>2021-02-16T09:46:00.00000019557774075</v>
      </c>
      <c r="L682" s="179">
        <v>1819.13</v>
      </c>
      <c r="M682" s="181">
        <f t="shared" si="192"/>
        <v>-5.48</v>
      </c>
      <c r="N682" s="182">
        <f t="shared" si="193"/>
        <v>-1</v>
      </c>
      <c r="O682" s="183">
        <f t="shared" si="194"/>
        <v>0</v>
      </c>
      <c r="P682" s="184">
        <f t="shared" si="195"/>
        <v>0</v>
      </c>
      <c r="Q682" s="184">
        <f t="shared" si="196"/>
        <v>-1</v>
      </c>
      <c r="R68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26227.5</v>
      </c>
      <c r="T68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26477.5</v>
      </c>
      <c r="U682" s="186">
        <f ca="1">IF(Tabla33610673[[#This Row],[Equity]]&lt;Tabla33610673[[#This Row],[Equity Peak]],(Tabla33610673[[#This Row],[Equity Peak]]-Tabla33610673[[#This Row],[Equity]])/Tabla33610673[[#This Row],[Equity Peak]],"")</f>
        <v>9.441979038806534E-3</v>
      </c>
      <c r="V682" s="187">
        <f t="shared" si="197"/>
        <v>0</v>
      </c>
      <c r="W682" s="187">
        <f t="shared" si="198"/>
        <v>0</v>
      </c>
      <c r="X682" s="187">
        <f t="shared" si="199"/>
        <v>-1</v>
      </c>
      <c r="Y682" s="187">
        <f t="shared" si="200"/>
        <v>0</v>
      </c>
      <c r="Z682" s="187">
        <f t="shared" si="201"/>
        <v>0</v>
      </c>
      <c r="AA682" s="183">
        <f t="shared" si="202"/>
        <v>0</v>
      </c>
      <c r="AB682" s="187">
        <f t="shared" si="203"/>
        <v>0</v>
      </c>
      <c r="AC682" s="183">
        <f t="shared" si="204"/>
        <v>0</v>
      </c>
      <c r="AD682" s="188">
        <f t="shared" si="205"/>
        <v>0.25069444444670808</v>
      </c>
      <c r="AE682" s="188">
        <f t="shared" si="206"/>
        <v>0</v>
      </c>
      <c r="AF682" s="188">
        <f t="shared" si="207"/>
        <v>0.25069444444670808</v>
      </c>
      <c r="AG682" s="188">
        <f t="shared" si="208"/>
        <v>0</v>
      </c>
    </row>
    <row r="683" spans="2:33" ht="15" customHeight="1" x14ac:dyDescent="0.15">
      <c r="B683" s="174" t="s">
        <v>5</v>
      </c>
      <c r="C683" s="175" t="s">
        <v>15</v>
      </c>
      <c r="D683" s="176" t="str">
        <f t="shared" si="190"/>
        <v>C</v>
      </c>
      <c r="E683" s="177" t="d">
        <v>2021-02-12T18:30:00.00000020954757600</v>
      </c>
      <c r="F683" s="178" t="s">
        <v>81</v>
      </c>
      <c r="G683" s="179">
        <v>13752.05</v>
      </c>
      <c r="H683" s="179">
        <v>13707.45</v>
      </c>
      <c r="I683" s="180">
        <f t="shared" si="191"/>
        <v>44.599999999998545</v>
      </c>
      <c r="J683" s="179">
        <v>14019.67</v>
      </c>
      <c r="K683" s="177" t="d">
        <v>2021-02-16T09:13:00.00000002793967725</v>
      </c>
      <c r="L683" s="179">
        <v>13876.4</v>
      </c>
      <c r="M683" s="181">
        <f t="shared" si="192"/>
        <v>124.35</v>
      </c>
      <c r="N683" s="182">
        <f t="shared" si="193"/>
        <v>2.79</v>
      </c>
      <c r="O683" s="183">
        <f t="shared" si="194"/>
        <v>0</v>
      </c>
      <c r="P683" s="184">
        <f t="shared" si="195"/>
        <v>2.79</v>
      </c>
      <c r="Q683" s="184">
        <f t="shared" si="196"/>
        <v>0</v>
      </c>
      <c r="R68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26477.5</v>
      </c>
      <c r="T68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26477.5</v>
      </c>
      <c r="U683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683" s="187">
        <f t="shared" si="197"/>
        <v>0</v>
      </c>
      <c r="W683" s="187">
        <f t="shared" si="198"/>
        <v>0</v>
      </c>
      <c r="X683" s="187">
        <f t="shared" si="199"/>
        <v>0</v>
      </c>
      <c r="Y683" s="187">
        <f t="shared" si="200"/>
        <v>0</v>
      </c>
      <c r="Z683" s="187">
        <f t="shared" si="201"/>
        <v>2.79</v>
      </c>
      <c r="AA683" s="183">
        <f t="shared" si="202"/>
        <v>0</v>
      </c>
      <c r="AB683" s="187">
        <f t="shared" si="203"/>
        <v>0</v>
      </c>
      <c r="AC683" s="183">
        <f t="shared" si="204"/>
        <v>0</v>
      </c>
      <c r="AD683" s="188">
        <f t="shared" si="205"/>
        <v>3.6131944444423425</v>
      </c>
      <c r="AE683" s="188">
        <f t="shared" si="206"/>
        <v>3.6131944444423425</v>
      </c>
      <c r="AF683" s="188">
        <f t="shared" si="207"/>
        <v>0</v>
      </c>
      <c r="AG683" s="188">
        <f t="shared" si="208"/>
        <v>0</v>
      </c>
    </row>
    <row r="684" spans="2:33" ht="15" customHeight="1" x14ac:dyDescent="0.15">
      <c r="B684" s="174" t="s">
        <v>7</v>
      </c>
      <c r="C684" s="175" t="s">
        <v>15</v>
      </c>
      <c r="D684" s="176" t="str">
        <f t="shared" si="190"/>
        <v>C</v>
      </c>
      <c r="E684" s="177" t="d">
        <v>2021-02-15T01:15:00.00000020954757600</v>
      </c>
      <c r="F684" s="178" t="s">
        <v>102</v>
      </c>
      <c r="G684" s="179">
        <v>145.51499999999999</v>
      </c>
      <c r="H684" s="179">
        <v>145.30699999999999</v>
      </c>
      <c r="I684" s="180">
        <f t="shared" si="191"/>
        <v>0.20799999999999841</v>
      </c>
      <c r="J684" s="179">
        <v>146.626</v>
      </c>
      <c r="K684" s="177" t="d">
        <v>2021-02-15T12:17:59.99999974854290475</v>
      </c>
      <c r="L684" s="179">
        <v>146.626</v>
      </c>
      <c r="M684" s="181">
        <f t="shared" si="192"/>
        <v>1.111</v>
      </c>
      <c r="N684" s="182">
        <f t="shared" si="193"/>
        <v>5.34</v>
      </c>
      <c r="O684" s="183">
        <f t="shared" si="194"/>
        <v>0</v>
      </c>
      <c r="P684" s="184">
        <f t="shared" si="195"/>
        <v>5.34</v>
      </c>
      <c r="Q684" s="184">
        <f t="shared" si="196"/>
        <v>0</v>
      </c>
      <c r="R68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25780</v>
      </c>
      <c r="T68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684" s="186">
        <f ca="1">IF(Tabla33610673[[#This Row],[Equity]]&lt;Tabla33610673[[#This Row],[Equity Peak]],(Tabla33610673[[#This Row],[Equity Peak]]-Tabla33610673[[#This Row],[Equity]])/Tabla33610673[[#This Row],[Equity Peak]],"")</f>
        <v>2.3022264329701562E-2</v>
      </c>
      <c r="V684" s="187">
        <f t="shared" si="197"/>
        <v>5.34</v>
      </c>
      <c r="W684" s="187">
        <f t="shared" si="198"/>
        <v>0</v>
      </c>
      <c r="X684" s="187">
        <f t="shared" si="199"/>
        <v>0</v>
      </c>
      <c r="Y684" s="187">
        <f t="shared" si="200"/>
        <v>0</v>
      </c>
      <c r="Z684" s="187">
        <f t="shared" si="201"/>
        <v>0</v>
      </c>
      <c r="AA684" s="183">
        <f t="shared" si="202"/>
        <v>0</v>
      </c>
      <c r="AB684" s="187">
        <f t="shared" si="203"/>
        <v>0</v>
      </c>
      <c r="AC684" s="183">
        <f t="shared" si="204"/>
        <v>0</v>
      </c>
      <c r="AD684" s="188">
        <f t="shared" si="205"/>
        <v>0.46041666666133096</v>
      </c>
      <c r="AE684" s="188">
        <f t="shared" si="206"/>
        <v>0.46041666666133096</v>
      </c>
      <c r="AF684" s="188">
        <f t="shared" si="207"/>
        <v>0</v>
      </c>
      <c r="AG684" s="188">
        <f t="shared" si="208"/>
        <v>0</v>
      </c>
    </row>
    <row r="685" spans="2:33" ht="15" customHeight="1" x14ac:dyDescent="0.15">
      <c r="B685" s="174" t="s">
        <v>5</v>
      </c>
      <c r="C685" s="175" t="s">
        <v>15</v>
      </c>
      <c r="D685" s="176" t="str">
        <f t="shared" si="190"/>
        <v>C</v>
      </c>
      <c r="E685" s="177" t="d">
        <v>2021-02-15T01:15:00.00000020954757600</v>
      </c>
      <c r="F685" s="178" t="s">
        <v>80</v>
      </c>
      <c r="G685" s="179">
        <v>14099.08</v>
      </c>
      <c r="H685" s="179">
        <v>14055.55</v>
      </c>
      <c r="I685" s="180">
        <f t="shared" si="191"/>
        <v>43.530000000000655</v>
      </c>
      <c r="J685" s="179">
        <v>14418.27</v>
      </c>
      <c r="K685" s="177" t="d">
        <v>2021-02-15T10:09:00.00000029336660775</v>
      </c>
      <c r="L685" s="179">
        <v>14095.38</v>
      </c>
      <c r="M685" s="181">
        <f t="shared" si="192"/>
        <v>-3.7</v>
      </c>
      <c r="N685" s="182">
        <f t="shared" si="193"/>
        <v>-0.08</v>
      </c>
      <c r="O685" s="183">
        <f t="shared" si="194"/>
        <v>0</v>
      </c>
      <c r="P685" s="184">
        <f t="shared" si="195"/>
        <v>0</v>
      </c>
      <c r="Q685" s="184">
        <f t="shared" si="196"/>
        <v>-0.08</v>
      </c>
      <c r="R68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24445</v>
      </c>
      <c r="T68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685" s="186">
        <f ca="1">IF(Tabla33610673[[#This Row],[Equity]]&lt;Tabla33610673[[#This Row],[Equity Peak]],(Tabla33610673[[#This Row],[Equity Peak]]-Tabla33610673[[#This Row],[Equity]])/Tabla33610673[[#This Row],[Equity Peak]],"")</f>
        <v>7.3614400757934628E-2</v>
      </c>
      <c r="V685" s="187">
        <f t="shared" si="197"/>
        <v>0</v>
      </c>
      <c r="W685" s="187">
        <f t="shared" si="198"/>
        <v>0</v>
      </c>
      <c r="X685" s="187">
        <f t="shared" si="199"/>
        <v>0</v>
      </c>
      <c r="Y685" s="187">
        <f t="shared" si="200"/>
        <v>0</v>
      </c>
      <c r="Z685" s="187">
        <f t="shared" si="201"/>
        <v>-0.08</v>
      </c>
      <c r="AA685" s="183">
        <f t="shared" si="202"/>
        <v>0</v>
      </c>
      <c r="AB685" s="187">
        <f t="shared" si="203"/>
        <v>0</v>
      </c>
      <c r="AC685" s="183">
        <f t="shared" si="204"/>
        <v>0</v>
      </c>
      <c r="AD685" s="188">
        <f t="shared" si="205"/>
        <v>0.37083333333430346</v>
      </c>
      <c r="AE685" s="188">
        <f t="shared" si="206"/>
        <v>0</v>
      </c>
      <c r="AF685" s="188">
        <f t="shared" si="207"/>
        <v>0.37083333333430346</v>
      </c>
      <c r="AG685" s="188">
        <f t="shared" si="208"/>
        <v>0</v>
      </c>
    </row>
    <row r="686" spans="2:33" ht="15" customHeight="1" x14ac:dyDescent="0.15">
      <c r="B686" s="174" t="s">
        <v>7</v>
      </c>
      <c r="C686" s="175" t="s">
        <v>15</v>
      </c>
      <c r="D686" s="176" t="str">
        <f t="shared" si="190"/>
        <v>C</v>
      </c>
      <c r="E686" s="177" t="d">
        <v>2021-02-12T16:44:59.99999979045242400</v>
      </c>
      <c r="F686" s="178" t="s">
        <v>102</v>
      </c>
      <c r="G686" s="179">
        <v>145.25299999999999</v>
      </c>
      <c r="H686" s="179">
        <v>145.03899999999999</v>
      </c>
      <c r="I686" s="180">
        <f t="shared" si="191"/>
        <v>0.21399999999999864</v>
      </c>
      <c r="J686" s="179">
        <v>146.39599999999999</v>
      </c>
      <c r="K686" s="177" t="d">
        <v>2021-02-12T23:54:00.00000008381903175</v>
      </c>
      <c r="L686" s="179">
        <v>145.16999999999999</v>
      </c>
      <c r="M686" s="181">
        <f t="shared" si="192"/>
        <v>-8.3000000000000004E-2</v>
      </c>
      <c r="N686" s="182">
        <f t="shared" si="193"/>
        <v>-0.39</v>
      </c>
      <c r="O686" s="183">
        <f t="shared" si="194"/>
        <v>0</v>
      </c>
      <c r="P686" s="184">
        <f t="shared" si="195"/>
        <v>0</v>
      </c>
      <c r="Q686" s="184">
        <f t="shared" si="196"/>
        <v>-0.39</v>
      </c>
      <c r="R68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24465</v>
      </c>
      <c r="T68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686" s="186">
        <f ca="1">IF(Tabla33610673[[#This Row],[Equity]]&lt;Tabla33610673[[#This Row],[Equity Peak]],(Tabla33610673[[#This Row],[Equity Peak]]-Tabla33610673[[#This Row],[Equity]])/Tabla33610673[[#This Row],[Equity Peak]],"")</f>
        <v>7.2856466129796307E-2</v>
      </c>
      <c r="V686" s="187">
        <f t="shared" si="197"/>
        <v>-0.39</v>
      </c>
      <c r="W686" s="187">
        <f t="shared" si="198"/>
        <v>0</v>
      </c>
      <c r="X686" s="187">
        <f t="shared" si="199"/>
        <v>0</v>
      </c>
      <c r="Y686" s="187">
        <f t="shared" si="200"/>
        <v>0</v>
      </c>
      <c r="Z686" s="187">
        <f t="shared" si="201"/>
        <v>0</v>
      </c>
      <c r="AA686" s="183">
        <f t="shared" si="202"/>
        <v>0</v>
      </c>
      <c r="AB686" s="187">
        <f t="shared" si="203"/>
        <v>0</v>
      </c>
      <c r="AC686" s="183">
        <f t="shared" si="204"/>
        <v>0</v>
      </c>
      <c r="AD686" s="188">
        <f t="shared" si="205"/>
        <v>0.29791666667006211</v>
      </c>
      <c r="AE686" s="188">
        <f t="shared" si="206"/>
        <v>0</v>
      </c>
      <c r="AF686" s="188">
        <f t="shared" si="207"/>
        <v>0.29791666667006211</v>
      </c>
      <c r="AG686" s="188">
        <f t="shared" si="208"/>
        <v>0</v>
      </c>
    </row>
    <row r="687" spans="2:33" ht="15" customHeight="1" x14ac:dyDescent="0.15">
      <c r="B687" s="174" t="s">
        <v>19</v>
      </c>
      <c r="C687" s="175" t="s">
        <v>15</v>
      </c>
      <c r="D687" s="176" t="str">
        <f t="shared" si="190"/>
        <v>C</v>
      </c>
      <c r="E687" s="177" t="d">
        <v>2021-02-12T18:00:00.000</v>
      </c>
      <c r="F687" s="178" t="s">
        <v>77</v>
      </c>
      <c r="G687" s="179">
        <v>1828.43</v>
      </c>
      <c r="H687" s="179">
        <v>1822.49</v>
      </c>
      <c r="I687" s="180">
        <f t="shared" si="191"/>
        <v>5.9400000000000546</v>
      </c>
      <c r="J687" s="179">
        <v>1856.96</v>
      </c>
      <c r="K687" s="177" t="d">
        <v>2021-02-12T19:38:59.99999987427145575</v>
      </c>
      <c r="L687" s="179">
        <v>1822.49</v>
      </c>
      <c r="M687" s="181">
        <f t="shared" si="192"/>
        <v>-5.94</v>
      </c>
      <c r="N687" s="182">
        <f t="shared" si="193"/>
        <v>-1</v>
      </c>
      <c r="O687" s="183">
        <f t="shared" si="194"/>
        <v>0</v>
      </c>
      <c r="P687" s="184">
        <f t="shared" si="195"/>
        <v>0</v>
      </c>
      <c r="Q687" s="184">
        <f t="shared" si="196"/>
        <v>-1</v>
      </c>
      <c r="R68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24562.5</v>
      </c>
      <c r="T68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687" s="186">
        <f ca="1">IF(Tabla33610673[[#This Row],[Equity]]&lt;Tabla33610673[[#This Row],[Equity Peak]],(Tabla33610673[[#This Row],[Equity Peak]]-Tabla33610673[[#This Row],[Equity]])/Tabla33610673[[#This Row],[Equity Peak]],"")</f>
        <v>6.9161534817621981E-2</v>
      </c>
      <c r="V687" s="187">
        <f t="shared" si="197"/>
        <v>0</v>
      </c>
      <c r="W687" s="187">
        <f t="shared" si="198"/>
        <v>0</v>
      </c>
      <c r="X687" s="187">
        <f t="shared" si="199"/>
        <v>-1</v>
      </c>
      <c r="Y687" s="187">
        <f t="shared" si="200"/>
        <v>0</v>
      </c>
      <c r="Z687" s="187">
        <f t="shared" si="201"/>
        <v>0</v>
      </c>
      <c r="AA687" s="183">
        <f t="shared" si="202"/>
        <v>0</v>
      </c>
      <c r="AB687" s="187">
        <f t="shared" si="203"/>
        <v>0</v>
      </c>
      <c r="AC687" s="183">
        <f t="shared" si="204"/>
        <v>0</v>
      </c>
      <c r="AD687" s="188">
        <f t="shared" si="205"/>
        <v>6.8749999998544808E-2</v>
      </c>
      <c r="AE687" s="188">
        <f t="shared" si="206"/>
        <v>0</v>
      </c>
      <c r="AF687" s="188">
        <f t="shared" si="207"/>
        <v>6.8749999998544808E-2</v>
      </c>
      <c r="AG687" s="188">
        <f t="shared" si="208"/>
        <v>0</v>
      </c>
    </row>
    <row r="688" spans="2:33" ht="15" customHeight="1" x14ac:dyDescent="0.15">
      <c r="B688" s="174" t="s">
        <v>7</v>
      </c>
      <c r="C688" s="175" t="s">
        <v>15</v>
      </c>
      <c r="D688" s="176" t="str">
        <f t="shared" si="190"/>
        <v>C</v>
      </c>
      <c r="E688" s="177" t="d">
        <v>2021-02-10T12:00:00.000</v>
      </c>
      <c r="F688" s="178" t="s">
        <v>102</v>
      </c>
      <c r="G688" s="179">
        <v>144.99</v>
      </c>
      <c r="H688" s="179">
        <v>144.76900000000001</v>
      </c>
      <c r="I688" s="180">
        <f t="shared" si="191"/>
        <v>0.22100000000000364</v>
      </c>
      <c r="J688" s="179">
        <v>146.16800000000001</v>
      </c>
      <c r="K688" s="177" t="d">
        <v>2021-02-10T22:15:00.00000020954757600</v>
      </c>
      <c r="L688" s="179">
        <v>144.76900000000001</v>
      </c>
      <c r="M688" s="181">
        <f t="shared" si="192"/>
        <v>-0.221</v>
      </c>
      <c r="N688" s="182">
        <f t="shared" si="193"/>
        <v>-1</v>
      </c>
      <c r="O688" s="183">
        <f t="shared" si="194"/>
        <v>0</v>
      </c>
      <c r="P688" s="184">
        <f t="shared" si="195"/>
        <v>0</v>
      </c>
      <c r="Q688" s="184">
        <f t="shared" si="196"/>
        <v>-1</v>
      </c>
      <c r="R68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24812.5</v>
      </c>
      <c r="T68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688" s="186">
        <f ca="1">IF(Tabla33610673[[#This Row],[Equity]]&lt;Tabla33610673[[#This Row],[Equity Peak]],(Tabla33610673[[#This Row],[Equity Peak]]-Tabla33610673[[#This Row],[Equity]])/Tabla33610673[[#This Row],[Equity Peak]],"")</f>
        <v>5.9687351965892942E-2</v>
      </c>
      <c r="V688" s="187">
        <f t="shared" si="197"/>
        <v>-1</v>
      </c>
      <c r="W688" s="187">
        <f t="shared" si="198"/>
        <v>0</v>
      </c>
      <c r="X688" s="187">
        <f t="shared" si="199"/>
        <v>0</v>
      </c>
      <c r="Y688" s="187">
        <f t="shared" si="200"/>
        <v>0</v>
      </c>
      <c r="Z688" s="187">
        <f t="shared" si="201"/>
        <v>0</v>
      </c>
      <c r="AA688" s="183">
        <f t="shared" si="202"/>
        <v>0</v>
      </c>
      <c r="AB688" s="187">
        <f t="shared" si="203"/>
        <v>0</v>
      </c>
      <c r="AC688" s="183">
        <f t="shared" si="204"/>
        <v>0</v>
      </c>
      <c r="AD688" s="188">
        <f t="shared" si="205"/>
        <v>0.42708333333575865</v>
      </c>
      <c r="AE688" s="188">
        <f t="shared" si="206"/>
        <v>0</v>
      </c>
      <c r="AF688" s="188">
        <f t="shared" si="207"/>
        <v>0.42708333333575865</v>
      </c>
      <c r="AG688" s="188">
        <f t="shared" si="208"/>
        <v>0</v>
      </c>
    </row>
    <row r="689" spans="2:33" ht="15" customHeight="1" x14ac:dyDescent="0.15">
      <c r="B689" s="174" t="s">
        <v>5</v>
      </c>
      <c r="C689" s="175" t="s">
        <v>13</v>
      </c>
      <c r="D689" s="176" t="str">
        <f t="shared" si="190"/>
        <v>C</v>
      </c>
      <c r="E689" s="177" t="d">
        <v>2021-02-10T17:45:00.00000020954757600</v>
      </c>
      <c r="F689" s="178" t="s">
        <v>80</v>
      </c>
      <c r="G689" s="179">
        <v>13857.67</v>
      </c>
      <c r="H689" s="179">
        <v>13904.43</v>
      </c>
      <c r="I689" s="180">
        <f t="shared" si="191"/>
        <v>46.760000000000218</v>
      </c>
      <c r="J689" s="179">
        <v>13514.76</v>
      </c>
      <c r="K689" s="177" t="d">
        <v>2021-02-10T17:51:00.00000012572854425</v>
      </c>
      <c r="L689" s="179">
        <v>13904.43</v>
      </c>
      <c r="M689" s="181">
        <f t="shared" si="192"/>
        <v>-46.76</v>
      </c>
      <c r="N689" s="182">
        <f t="shared" si="193"/>
        <v>-1</v>
      </c>
      <c r="O689" s="183">
        <f t="shared" si="194"/>
        <v>0</v>
      </c>
      <c r="P689" s="184">
        <f t="shared" si="195"/>
        <v>0</v>
      </c>
      <c r="Q689" s="184">
        <f t="shared" si="196"/>
        <v>-1</v>
      </c>
      <c r="R68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25062.5</v>
      </c>
      <c r="T68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689" s="186">
        <f ca="1">IF(Tabla33610673[[#This Row],[Equity]]&lt;Tabla33610673[[#This Row],[Equity Peak]],(Tabla33610673[[#This Row],[Equity Peak]]-Tabla33610673[[#This Row],[Equity]])/Tabla33610673[[#This Row],[Equity Peak]],"")</f>
        <v>5.0213169114163902E-2</v>
      </c>
      <c r="V689" s="187">
        <f t="shared" si="197"/>
        <v>0</v>
      </c>
      <c r="W689" s="187">
        <f t="shared" si="198"/>
        <v>0</v>
      </c>
      <c r="X689" s="187">
        <f t="shared" si="199"/>
        <v>0</v>
      </c>
      <c r="Y689" s="187">
        <f t="shared" si="200"/>
        <v>0</v>
      </c>
      <c r="Z689" s="187">
        <f t="shared" si="201"/>
        <v>-1</v>
      </c>
      <c r="AA689" s="183">
        <f t="shared" si="202"/>
        <v>0</v>
      </c>
      <c r="AB689" s="187">
        <f t="shared" si="203"/>
        <v>0</v>
      </c>
      <c r="AC689" s="183">
        <f t="shared" si="204"/>
        <v>0</v>
      </c>
      <c r="AD689" s="188">
        <f t="shared" si="205"/>
        <v>4.166666665696539E-3</v>
      </c>
      <c r="AE689" s="188">
        <f t="shared" si="206"/>
        <v>0</v>
      </c>
      <c r="AF689" s="188">
        <f t="shared" si="207"/>
        <v>4.166666665696539E-3</v>
      </c>
      <c r="AG689" s="188">
        <f t="shared" si="208"/>
        <v>0</v>
      </c>
    </row>
    <row r="690" spans="2:33" ht="15" customHeight="1" x14ac:dyDescent="0.15">
      <c r="B690" s="174" t="s">
        <v>5</v>
      </c>
      <c r="C690" s="175" t="s">
        <v>15</v>
      </c>
      <c r="D690" s="176" t="str">
        <f t="shared" si="190"/>
        <v>C</v>
      </c>
      <c r="E690" s="177" t="d">
        <v>2021-02-10T05:15:00.000</v>
      </c>
      <c r="F690" s="178" t="s">
        <v>81</v>
      </c>
      <c r="G690" s="179">
        <v>13751.35</v>
      </c>
      <c r="H690" s="179">
        <v>13715.16</v>
      </c>
      <c r="I690" s="180">
        <f t="shared" si="191"/>
        <v>36.190000000000509</v>
      </c>
      <c r="J690" s="179">
        <v>13968.47</v>
      </c>
      <c r="K690" s="177" t="d">
        <v>2021-02-10T17:09:00.00000008381903175</v>
      </c>
      <c r="L690" s="179">
        <v>13717.9</v>
      </c>
      <c r="M690" s="181">
        <f t="shared" si="192"/>
        <v>-33.450000000000003</v>
      </c>
      <c r="N690" s="182">
        <f t="shared" si="193"/>
        <v>-0.92</v>
      </c>
      <c r="O690" s="183">
        <f t="shared" si="194"/>
        <v>0</v>
      </c>
      <c r="P690" s="184">
        <f t="shared" si="195"/>
        <v>0</v>
      </c>
      <c r="Q690" s="184">
        <f t="shared" si="196"/>
        <v>-0.92</v>
      </c>
      <c r="R69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25312.5</v>
      </c>
      <c r="T69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690" s="186">
        <f ca="1">IF(Tabla33610673[[#This Row],[Equity]]&lt;Tabla33610673[[#This Row],[Equity Peak]],(Tabla33610673[[#This Row],[Equity Peak]]-Tabla33610673[[#This Row],[Equity]])/Tabla33610673[[#This Row],[Equity Peak]],"")</f>
        <v>4.0738986262434863E-2</v>
      </c>
      <c r="V690" s="187">
        <f t="shared" si="197"/>
        <v>0</v>
      </c>
      <c r="W690" s="187">
        <f t="shared" si="198"/>
        <v>0</v>
      </c>
      <c r="X690" s="187">
        <f t="shared" si="199"/>
        <v>0</v>
      </c>
      <c r="Y690" s="187">
        <f t="shared" si="200"/>
        <v>0</v>
      </c>
      <c r="Z690" s="187">
        <f t="shared" si="201"/>
        <v>-0.92</v>
      </c>
      <c r="AA690" s="183">
        <f t="shared" si="202"/>
        <v>0</v>
      </c>
      <c r="AB690" s="187">
        <f t="shared" si="203"/>
        <v>0</v>
      </c>
      <c r="AC690" s="183">
        <f t="shared" si="204"/>
        <v>0</v>
      </c>
      <c r="AD690" s="188">
        <f t="shared" si="205"/>
        <v>0.49583333333430346</v>
      </c>
      <c r="AE690" s="188">
        <f t="shared" si="206"/>
        <v>0</v>
      </c>
      <c r="AF690" s="188">
        <f t="shared" si="207"/>
        <v>0.49583333333430346</v>
      </c>
      <c r="AG690" s="188">
        <f t="shared" si="208"/>
        <v>0</v>
      </c>
    </row>
    <row r="691" spans="2:33" ht="15" customHeight="1" x14ac:dyDescent="0.15">
      <c r="B691" s="174" t="s">
        <v>5</v>
      </c>
      <c r="C691" s="175" t="s">
        <v>15</v>
      </c>
      <c r="D691" s="176" t="str">
        <f t="shared" si="190"/>
        <v>C</v>
      </c>
      <c r="E691" s="177" t="d">
        <v>2021-02-09T17:00:00.00000020954757600</v>
      </c>
      <c r="F691" s="178" t="s">
        <v>81</v>
      </c>
      <c r="G691" s="179">
        <v>13712.75</v>
      </c>
      <c r="H691" s="179">
        <v>13671.87</v>
      </c>
      <c r="I691" s="180">
        <f t="shared" si="191"/>
        <v>40.8799999999992</v>
      </c>
      <c r="J691" s="179">
        <v>13958.05</v>
      </c>
      <c r="K691" s="177" t="d">
        <v>2021-02-09T20:54:00.00000008381903175</v>
      </c>
      <c r="L691" s="179">
        <v>13673.33</v>
      </c>
      <c r="M691" s="181">
        <f t="shared" si="192"/>
        <v>-39.42</v>
      </c>
      <c r="N691" s="182">
        <f t="shared" si="193"/>
        <v>-0.96</v>
      </c>
      <c r="O691" s="183">
        <f t="shared" si="194"/>
        <v>0</v>
      </c>
      <c r="P691" s="184">
        <f t="shared" si="195"/>
        <v>0</v>
      </c>
      <c r="Q691" s="184">
        <f t="shared" si="196"/>
        <v>-0.96</v>
      </c>
      <c r="R69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25542.5</v>
      </c>
      <c r="T69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691" s="186">
        <f ca="1">IF(Tabla33610673[[#This Row],[Equity]]&lt;Tabla33610673[[#This Row],[Equity Peak]],(Tabla33610673[[#This Row],[Equity Peak]]-Tabla33610673[[#This Row],[Equity]])/Tabla33610673[[#This Row],[Equity Peak]],"")</f>
        <v>3.2022738038844152E-2</v>
      </c>
      <c r="V691" s="187">
        <f t="shared" si="197"/>
        <v>0</v>
      </c>
      <c r="W691" s="187">
        <f t="shared" si="198"/>
        <v>0</v>
      </c>
      <c r="X691" s="187">
        <f t="shared" si="199"/>
        <v>0</v>
      </c>
      <c r="Y691" s="187">
        <f t="shared" si="200"/>
        <v>0</v>
      </c>
      <c r="Z691" s="187">
        <f t="shared" si="201"/>
        <v>-0.96</v>
      </c>
      <c r="AA691" s="183">
        <f t="shared" si="202"/>
        <v>0</v>
      </c>
      <c r="AB691" s="187">
        <f t="shared" si="203"/>
        <v>0</v>
      </c>
      <c r="AC691" s="183">
        <f t="shared" si="204"/>
        <v>0</v>
      </c>
      <c r="AD691" s="188">
        <f t="shared" si="205"/>
        <v>0.16249999999854481</v>
      </c>
      <c r="AE691" s="188">
        <f t="shared" si="206"/>
        <v>0</v>
      </c>
      <c r="AF691" s="188">
        <f t="shared" si="207"/>
        <v>0.16249999999854481</v>
      </c>
      <c r="AG691" s="188">
        <f t="shared" si="208"/>
        <v>0</v>
      </c>
    </row>
    <row r="692" spans="2:33" ht="15" customHeight="1" x14ac:dyDescent="0.15">
      <c r="B692" s="174" t="s">
        <v>5</v>
      </c>
      <c r="C692" s="175" t="s">
        <v>15</v>
      </c>
      <c r="D692" s="176" t="str">
        <f t="shared" si="190"/>
        <v>C</v>
      </c>
      <c r="E692" s="177" t="d">
        <v>2021-02-04T17:00:00.00000020954757600</v>
      </c>
      <c r="F692" s="178" t="s">
        <v>82</v>
      </c>
      <c r="G692" s="179">
        <v>3849.72</v>
      </c>
      <c r="H692" s="179">
        <v>3824.42</v>
      </c>
      <c r="I692" s="180">
        <f t="shared" si="191"/>
        <v>25.299999999999727</v>
      </c>
      <c r="J692" s="179">
        <v>4014.18</v>
      </c>
      <c r="K692" s="177" t="d">
        <v>2021-02-09T16:38:59.99999987427145575</v>
      </c>
      <c r="L692" s="179">
        <v>3902.54</v>
      </c>
      <c r="M692" s="181">
        <f t="shared" si="192"/>
        <v>52.82</v>
      </c>
      <c r="N692" s="182">
        <f t="shared" si="193"/>
        <v>2.09</v>
      </c>
      <c r="O692" s="183">
        <f t="shared" si="194"/>
        <v>0</v>
      </c>
      <c r="P692" s="184">
        <f t="shared" si="195"/>
        <v>2.09</v>
      </c>
      <c r="Q692" s="184">
        <f t="shared" si="196"/>
        <v>0</v>
      </c>
      <c r="R69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25782.5</v>
      </c>
      <c r="T69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692" s="186">
        <f ca="1">IF(Tabla33610673[[#This Row],[Equity]]&lt;Tabla33610673[[#This Row],[Equity Peak]],(Tabla33610673[[#This Row],[Equity Peak]]-Tabla33610673[[#This Row],[Equity]])/Tabla33610673[[#This Row],[Equity Peak]],"")</f>
        <v>2.2927522501184273E-2</v>
      </c>
      <c r="V692" s="187">
        <f t="shared" si="197"/>
        <v>0</v>
      </c>
      <c r="W692" s="187">
        <f t="shared" si="198"/>
        <v>0</v>
      </c>
      <c r="X692" s="187">
        <f t="shared" si="199"/>
        <v>0</v>
      </c>
      <c r="Y692" s="187">
        <f t="shared" si="200"/>
        <v>0</v>
      </c>
      <c r="Z692" s="187">
        <f t="shared" si="201"/>
        <v>2.09</v>
      </c>
      <c r="AA692" s="183">
        <f t="shared" si="202"/>
        <v>0</v>
      </c>
      <c r="AB692" s="187">
        <f t="shared" si="203"/>
        <v>0</v>
      </c>
      <c r="AC692" s="183">
        <f t="shared" si="204"/>
        <v>0</v>
      </c>
      <c r="AD692" s="188">
        <f t="shared" si="205"/>
        <v>4.9854166666627862</v>
      </c>
      <c r="AE692" s="188">
        <f t="shared" si="206"/>
        <v>4.9854166666627862</v>
      </c>
      <c r="AF692" s="188">
        <f t="shared" si="207"/>
        <v>0</v>
      </c>
      <c r="AG692" s="188">
        <f t="shared" si="208"/>
        <v>0</v>
      </c>
    </row>
    <row r="693" spans="2:33" ht="15" customHeight="1" x14ac:dyDescent="0.15">
      <c r="B693" s="174" t="s">
        <v>19</v>
      </c>
      <c r="C693" s="175" t="s">
        <v>15</v>
      </c>
      <c r="D693" s="176" t="str">
        <f t="shared" si="190"/>
        <v>C</v>
      </c>
      <c r="E693" s="177" t="d">
        <v>2021-02-05T18:59:59.99999979045242400</v>
      </c>
      <c r="F693" s="178" t="s">
        <v>77</v>
      </c>
      <c r="G693" s="179">
        <v>1813.07</v>
      </c>
      <c r="H693" s="179">
        <v>1805.23</v>
      </c>
      <c r="I693" s="180">
        <f t="shared" si="191"/>
        <v>7.8399999999999181</v>
      </c>
      <c r="J693" s="179">
        <v>1850.7</v>
      </c>
      <c r="K693" s="177" t="d">
        <v>2021-02-08T21:07:00.00000011175870900</v>
      </c>
      <c r="L693" s="179">
        <v>1830.9</v>
      </c>
      <c r="M693" s="181">
        <f t="shared" si="192"/>
        <v>17.829999999999998</v>
      </c>
      <c r="N693" s="182">
        <f t="shared" si="193"/>
        <v>2.27</v>
      </c>
      <c r="O693" s="183">
        <f t="shared" si="194"/>
        <v>0</v>
      </c>
      <c r="P693" s="184">
        <f t="shared" si="195"/>
        <v>2.27</v>
      </c>
      <c r="Q693" s="184">
        <f t="shared" si="196"/>
        <v>0</v>
      </c>
      <c r="R69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25260</v>
      </c>
      <c r="T69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693" s="186">
        <f ca="1">IF(Tabla33610673[[#This Row],[Equity]]&lt;Tabla33610673[[#This Row],[Equity Peak]],(Tabla33610673[[#This Row],[Equity Peak]]-Tabla33610673[[#This Row],[Equity]])/Tabla33610673[[#This Row],[Equity Peak]],"")</f>
        <v>4.2728564661297964E-2</v>
      </c>
      <c r="V693" s="187">
        <f t="shared" si="197"/>
        <v>0</v>
      </c>
      <c r="W693" s="187">
        <f t="shared" si="198"/>
        <v>0</v>
      </c>
      <c r="X693" s="187">
        <f t="shared" si="199"/>
        <v>2.27</v>
      </c>
      <c r="Y693" s="187">
        <f t="shared" si="200"/>
        <v>0</v>
      </c>
      <c r="Z693" s="187">
        <f t="shared" si="201"/>
        <v>0</v>
      </c>
      <c r="AA693" s="183">
        <f t="shared" si="202"/>
        <v>0</v>
      </c>
      <c r="AB693" s="187">
        <f t="shared" si="203"/>
        <v>0</v>
      </c>
      <c r="AC693" s="183">
        <f t="shared" si="204"/>
        <v>0</v>
      </c>
      <c r="AD693" s="188">
        <f t="shared" si="205"/>
        <v>3.0881944444481633</v>
      </c>
      <c r="AE693" s="188">
        <f t="shared" si="206"/>
        <v>3.0881944444481633</v>
      </c>
      <c r="AF693" s="188">
        <f t="shared" si="207"/>
        <v>0</v>
      </c>
      <c r="AG693" s="188">
        <f t="shared" si="208"/>
        <v>0</v>
      </c>
    </row>
    <row r="694" spans="2:33" ht="15" customHeight="1" x14ac:dyDescent="0.15">
      <c r="B694" s="174" t="s">
        <v>5</v>
      </c>
      <c r="C694" s="175" t="s">
        <v>15</v>
      </c>
      <c r="D694" s="176" t="str">
        <f t="shared" si="190"/>
        <v>C</v>
      </c>
      <c r="E694" s="177" t="d">
        <v>2021-02-08T02:29:59.99999979045242400</v>
      </c>
      <c r="F694" s="178" t="s">
        <v>81</v>
      </c>
      <c r="G694" s="179">
        <v>13653.25</v>
      </c>
      <c r="H694" s="179">
        <v>13603.49</v>
      </c>
      <c r="I694" s="180">
        <f t="shared" si="191"/>
        <v>49.760000000000218</v>
      </c>
      <c r="J694" s="179">
        <v>13951.81</v>
      </c>
      <c r="K694" s="177" t="d">
        <v>2021-02-08T18:39:00.00000008381903175</v>
      </c>
      <c r="L694" s="179">
        <v>13616.93</v>
      </c>
      <c r="M694" s="181">
        <f t="shared" si="192"/>
        <v>-36.32</v>
      </c>
      <c r="N694" s="182">
        <f t="shared" si="193"/>
        <v>-0.73</v>
      </c>
      <c r="O694" s="183">
        <f t="shared" si="194"/>
        <v>0</v>
      </c>
      <c r="P694" s="184">
        <f t="shared" si="195"/>
        <v>0</v>
      </c>
      <c r="Q694" s="184">
        <f t="shared" si="196"/>
        <v>-0.73</v>
      </c>
      <c r="R69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24692.5</v>
      </c>
      <c r="T69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694" s="186">
        <f ca="1">IF(Tabla33610673[[#This Row],[Equity]]&lt;Tabla33610673[[#This Row],[Equity Peak]],(Tabla33610673[[#This Row],[Equity Peak]]-Tabla33610673[[#This Row],[Equity]])/Tabla33610673[[#This Row],[Equity Peak]],"")</f>
        <v>6.4234959734722874E-2</v>
      </c>
      <c r="V694" s="187">
        <f t="shared" si="197"/>
        <v>0</v>
      </c>
      <c r="W694" s="187">
        <f t="shared" si="198"/>
        <v>0</v>
      </c>
      <c r="X694" s="187">
        <f t="shared" si="199"/>
        <v>0</v>
      </c>
      <c r="Y694" s="187">
        <f t="shared" si="200"/>
        <v>0</v>
      </c>
      <c r="Z694" s="187">
        <f t="shared" si="201"/>
        <v>-0.73</v>
      </c>
      <c r="AA694" s="183">
        <f t="shared" si="202"/>
        <v>0</v>
      </c>
      <c r="AB694" s="187">
        <f t="shared" si="203"/>
        <v>0</v>
      </c>
      <c r="AC694" s="183">
        <f t="shared" si="204"/>
        <v>0</v>
      </c>
      <c r="AD694" s="188">
        <f t="shared" si="205"/>
        <v>0.67291666667006211</v>
      </c>
      <c r="AE694" s="188">
        <f t="shared" si="206"/>
        <v>0</v>
      </c>
      <c r="AF694" s="188">
        <f t="shared" si="207"/>
        <v>0.67291666667006211</v>
      </c>
      <c r="AG694" s="188">
        <f t="shared" si="208"/>
        <v>0</v>
      </c>
    </row>
    <row r="695" spans="2:33" ht="15" customHeight="1" x14ac:dyDescent="0.15">
      <c r="B695" s="174" t="s">
        <v>7</v>
      </c>
      <c r="C695" s="175" t="s">
        <v>15</v>
      </c>
      <c r="D695" s="176" t="str">
        <f t="shared" si="190"/>
        <v>C</v>
      </c>
      <c r="E695" s="177" t="d">
        <v>2021-02-04T15:45:00.000</v>
      </c>
      <c r="F695" s="178" t="s">
        <v>102</v>
      </c>
      <c r="G695" s="179">
        <v>144.173</v>
      </c>
      <c r="H695" s="179">
        <v>143.88900000000001</v>
      </c>
      <c r="I695" s="180">
        <f t="shared" si="191"/>
        <v>0.28399999999999181</v>
      </c>
      <c r="J695" s="179">
        <v>145.68799999999999</v>
      </c>
      <c r="K695" s="177" t="d">
        <v>2021-02-05T23:54:00.00000008381903175</v>
      </c>
      <c r="L695" s="179">
        <v>144.47399999999999</v>
      </c>
      <c r="M695" s="181">
        <f t="shared" si="192"/>
        <v>0.30099999999999999</v>
      </c>
      <c r="N695" s="182">
        <f t="shared" si="193"/>
        <v>1.06</v>
      </c>
      <c r="O695" s="183">
        <f t="shared" si="194"/>
        <v>0</v>
      </c>
      <c r="P695" s="184">
        <f t="shared" si="195"/>
        <v>1.06</v>
      </c>
      <c r="Q695" s="184">
        <f t="shared" si="196"/>
        <v>0</v>
      </c>
      <c r="R69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24875</v>
      </c>
      <c r="T69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695" s="186">
        <f ca="1">IF(Tabla33610673[[#This Row],[Equity]]&lt;Tabla33610673[[#This Row],[Equity Peak]],(Tabla33610673[[#This Row],[Equity Peak]]-Tabla33610673[[#This Row],[Equity]])/Tabla33610673[[#This Row],[Equity Peak]],"")</f>
        <v>5.731880625296068E-2</v>
      </c>
      <c r="V695" s="187">
        <f t="shared" si="197"/>
        <v>1.06</v>
      </c>
      <c r="W695" s="187">
        <f t="shared" si="198"/>
        <v>0</v>
      </c>
      <c r="X695" s="187">
        <f t="shared" si="199"/>
        <v>0</v>
      </c>
      <c r="Y695" s="187">
        <f t="shared" si="200"/>
        <v>0</v>
      </c>
      <c r="Z695" s="187">
        <f t="shared" si="201"/>
        <v>0</v>
      </c>
      <c r="AA695" s="183">
        <f t="shared" si="202"/>
        <v>0</v>
      </c>
      <c r="AB695" s="187">
        <f t="shared" si="203"/>
        <v>0</v>
      </c>
      <c r="AC695" s="183">
        <f t="shared" si="204"/>
        <v>0</v>
      </c>
      <c r="AD695" s="188">
        <f t="shared" si="205"/>
        <v>1.3395833333343035</v>
      </c>
      <c r="AE695" s="188">
        <f t="shared" si="206"/>
        <v>1.3395833333343035</v>
      </c>
      <c r="AF695" s="188">
        <f t="shared" si="207"/>
        <v>0</v>
      </c>
      <c r="AG695" s="188">
        <f t="shared" si="208"/>
        <v>0</v>
      </c>
    </row>
    <row r="696" spans="2:33" ht="15" customHeight="1" x14ac:dyDescent="0.15">
      <c r="B696" s="174" t="s">
        <v>5</v>
      </c>
      <c r="C696" s="175" t="s">
        <v>15</v>
      </c>
      <c r="D696" s="176" t="str">
        <f t="shared" si="190"/>
        <v>C</v>
      </c>
      <c r="E696" s="177" t="d">
        <v>2021-02-05T20:00:00.00000020954757600</v>
      </c>
      <c r="F696" s="178" t="s">
        <v>81</v>
      </c>
      <c r="G696" s="179">
        <v>13637.75</v>
      </c>
      <c r="H696" s="179">
        <v>13587.82</v>
      </c>
      <c r="I696" s="180">
        <f t="shared" si="191"/>
        <v>49.930000000000291</v>
      </c>
      <c r="J696" s="179">
        <v>13937.32</v>
      </c>
      <c r="K696" s="177" t="d">
        <v>2021-02-05T21:01:00.00000019557774075</v>
      </c>
      <c r="L696" s="179">
        <v>13587.82</v>
      </c>
      <c r="M696" s="181">
        <f t="shared" si="192"/>
        <v>-49.93</v>
      </c>
      <c r="N696" s="182">
        <f t="shared" si="193"/>
        <v>-1</v>
      </c>
      <c r="O696" s="183">
        <f t="shared" si="194"/>
        <v>0</v>
      </c>
      <c r="P696" s="184">
        <f t="shared" si="195"/>
        <v>0</v>
      </c>
      <c r="Q696" s="184">
        <f t="shared" si="196"/>
        <v>-1</v>
      </c>
      <c r="R69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24610</v>
      </c>
      <c r="T69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696" s="186">
        <f ca="1">IF(Tabla33610673[[#This Row],[Equity]]&lt;Tabla33610673[[#This Row],[Equity Peak]],(Tabla33610673[[#This Row],[Equity Peak]]-Tabla33610673[[#This Row],[Equity]])/Tabla33610673[[#This Row],[Equity Peak]],"")</f>
        <v>6.7361440075793463E-2</v>
      </c>
      <c r="V696" s="187">
        <f t="shared" si="197"/>
        <v>0</v>
      </c>
      <c r="W696" s="187">
        <f t="shared" si="198"/>
        <v>0</v>
      </c>
      <c r="X696" s="187">
        <f t="shared" si="199"/>
        <v>0</v>
      </c>
      <c r="Y696" s="187">
        <f t="shared" si="200"/>
        <v>0</v>
      </c>
      <c r="Z696" s="187">
        <f t="shared" si="201"/>
        <v>-1</v>
      </c>
      <c r="AA696" s="183">
        <f t="shared" si="202"/>
        <v>0</v>
      </c>
      <c r="AB696" s="187">
        <f t="shared" si="203"/>
        <v>0</v>
      </c>
      <c r="AC696" s="183">
        <f t="shared" si="204"/>
        <v>0</v>
      </c>
      <c r="AD696" s="188">
        <f t="shared" si="205"/>
        <v>4.2361111110949423E-2</v>
      </c>
      <c r="AE696" s="188">
        <f t="shared" si="206"/>
        <v>0</v>
      </c>
      <c r="AF696" s="188">
        <f t="shared" si="207"/>
        <v>4.2361111110949423E-2</v>
      </c>
      <c r="AG696" s="188">
        <f t="shared" si="208"/>
        <v>0</v>
      </c>
    </row>
    <row r="697" spans="2:33" ht="15" customHeight="1" x14ac:dyDescent="0.15">
      <c r="B697" s="174" t="s">
        <v>5</v>
      </c>
      <c r="C697" s="175" t="s">
        <v>15</v>
      </c>
      <c r="D697" s="176" t="str">
        <f t="shared" si="190"/>
        <v>C</v>
      </c>
      <c r="E697" s="177" t="d">
        <v>2021-02-02T10:15:00.00000020954757600</v>
      </c>
      <c r="F697" s="178" t="s">
        <v>80</v>
      </c>
      <c r="G697" s="179">
        <v>13742.02</v>
      </c>
      <c r="H697" s="179">
        <v>13667.37</v>
      </c>
      <c r="I697" s="180">
        <f t="shared" si="191"/>
        <v>74.649999999999636</v>
      </c>
      <c r="J697" s="179">
        <v>14289.46</v>
      </c>
      <c r="K697" s="177" t="d">
        <v>2021-02-05T17:09:00.00000008381903175</v>
      </c>
      <c r="L697" s="179">
        <v>14030.43</v>
      </c>
      <c r="M697" s="181">
        <f t="shared" si="192"/>
        <v>288.41000000000003</v>
      </c>
      <c r="N697" s="182">
        <f t="shared" si="193"/>
        <v>3.86</v>
      </c>
      <c r="O697" s="183">
        <f t="shared" si="194"/>
        <v>0</v>
      </c>
      <c r="P697" s="184">
        <f t="shared" si="195"/>
        <v>3.86</v>
      </c>
      <c r="Q697" s="184">
        <f t="shared" si="196"/>
        <v>0</v>
      </c>
      <c r="R69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24860</v>
      </c>
      <c r="T69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697" s="186">
        <f ca="1">IF(Tabla33610673[[#This Row],[Equity]]&lt;Tabla33610673[[#This Row],[Equity Peak]],(Tabla33610673[[#This Row],[Equity Peak]]-Tabla33610673[[#This Row],[Equity]])/Tabla33610673[[#This Row],[Equity Peak]],"")</f>
        <v>5.7887257224064424E-2</v>
      </c>
      <c r="V697" s="187">
        <f t="shared" si="197"/>
        <v>0</v>
      </c>
      <c r="W697" s="187">
        <f t="shared" si="198"/>
        <v>0</v>
      </c>
      <c r="X697" s="187">
        <f t="shared" si="199"/>
        <v>0</v>
      </c>
      <c r="Y697" s="187">
        <f t="shared" si="200"/>
        <v>0</v>
      </c>
      <c r="Z697" s="187">
        <f t="shared" si="201"/>
        <v>3.86</v>
      </c>
      <c r="AA697" s="183">
        <f t="shared" si="202"/>
        <v>0</v>
      </c>
      <c r="AB697" s="187">
        <f t="shared" si="203"/>
        <v>0</v>
      </c>
      <c r="AC697" s="183">
        <f t="shared" si="204"/>
        <v>0</v>
      </c>
      <c r="AD697" s="188">
        <f t="shared" si="205"/>
        <v>3.2874999999985448</v>
      </c>
      <c r="AE697" s="188">
        <f t="shared" si="206"/>
        <v>3.2874999999985448</v>
      </c>
      <c r="AF697" s="188">
        <f t="shared" si="207"/>
        <v>0</v>
      </c>
      <c r="AG697" s="188">
        <f t="shared" si="208"/>
        <v>0</v>
      </c>
    </row>
    <row r="698" spans="2:33" ht="15" customHeight="1" x14ac:dyDescent="0.15">
      <c r="B698" s="174" t="s">
        <v>5</v>
      </c>
      <c r="C698" s="175" t="s">
        <v>15</v>
      </c>
      <c r="D698" s="176" t="str">
        <f t="shared" si="190"/>
        <v>C</v>
      </c>
      <c r="E698" s="177" t="d">
        <v>2021-02-05T04:15:00.00000020954757600</v>
      </c>
      <c r="F698" s="178" t="s">
        <v>81</v>
      </c>
      <c r="G698" s="179">
        <v>13581.65</v>
      </c>
      <c r="H698" s="179">
        <v>13527.07</v>
      </c>
      <c r="I698" s="180">
        <f t="shared" si="191"/>
        <v>54.579999999999927</v>
      </c>
      <c r="J698" s="179">
        <v>13909.14</v>
      </c>
      <c r="K698" s="177" t="d">
        <v>2021-02-05T17:03:00.00000016763806350</v>
      </c>
      <c r="L698" s="179">
        <v>13537.14</v>
      </c>
      <c r="M698" s="181">
        <f t="shared" si="192"/>
        <v>-44.51</v>
      </c>
      <c r="N698" s="182">
        <f t="shared" si="193"/>
        <v>-0.82</v>
      </c>
      <c r="O698" s="183">
        <f t="shared" si="194"/>
        <v>0</v>
      </c>
      <c r="P698" s="184">
        <f t="shared" si="195"/>
        <v>0</v>
      </c>
      <c r="Q698" s="184">
        <f t="shared" si="196"/>
        <v>-0.82</v>
      </c>
      <c r="R69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23895</v>
      </c>
      <c r="T69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698" s="186">
        <f ca="1">IF(Tabla33610673[[#This Row],[Equity]]&lt;Tabla33610673[[#This Row],[Equity Peak]],(Tabla33610673[[#This Row],[Equity Peak]]-Tabla33610673[[#This Row],[Equity]])/Tabla33610673[[#This Row],[Equity Peak]],"")</f>
        <v>9.4457603031738516E-2</v>
      </c>
      <c r="V698" s="187">
        <f t="shared" si="197"/>
        <v>0</v>
      </c>
      <c r="W698" s="187">
        <f t="shared" si="198"/>
        <v>0</v>
      </c>
      <c r="X698" s="187">
        <f t="shared" si="199"/>
        <v>0</v>
      </c>
      <c r="Y698" s="187">
        <f t="shared" si="200"/>
        <v>0</v>
      </c>
      <c r="Z698" s="187">
        <f t="shared" si="201"/>
        <v>-0.82</v>
      </c>
      <c r="AA698" s="183">
        <f t="shared" si="202"/>
        <v>0</v>
      </c>
      <c r="AB698" s="187">
        <f t="shared" si="203"/>
        <v>0</v>
      </c>
      <c r="AC698" s="183">
        <f t="shared" si="204"/>
        <v>0</v>
      </c>
      <c r="AD698" s="188">
        <f t="shared" si="205"/>
        <v>0.53333333333284827</v>
      </c>
      <c r="AE698" s="188">
        <f t="shared" si="206"/>
        <v>0</v>
      </c>
      <c r="AF698" s="188">
        <f t="shared" si="207"/>
        <v>0.53333333333284827</v>
      </c>
      <c r="AG698" s="188">
        <f t="shared" si="208"/>
        <v>0</v>
      </c>
    </row>
    <row r="699" spans="2:33" ht="15" customHeight="1" x14ac:dyDescent="0.15">
      <c r="B699" s="174" t="s">
        <v>7</v>
      </c>
      <c r="C699" s="175" t="s">
        <v>15</v>
      </c>
      <c r="D699" s="176" t="str">
        <f t="shared" si="190"/>
        <v>C</v>
      </c>
      <c r="E699" s="177" t="d">
        <v>2021-02-05T13:15:00.00000020954757600</v>
      </c>
      <c r="F699" s="178" t="s">
        <v>103</v>
      </c>
      <c r="G699" s="179">
        <v>105.645</v>
      </c>
      <c r="H699" s="179">
        <v>105.511</v>
      </c>
      <c r="I699" s="180">
        <f t="shared" si="191"/>
        <v>0.13400000000000034</v>
      </c>
      <c r="J699" s="179">
        <v>106.49</v>
      </c>
      <c r="K699" s="177" t="d">
        <v>2021-02-05T15:39:00.00000008381903175</v>
      </c>
      <c r="L699" s="179">
        <v>105.58</v>
      </c>
      <c r="M699" s="181">
        <f t="shared" si="192"/>
        <v>-6.5000000000000002E-2</v>
      </c>
      <c r="N699" s="182">
        <f t="shared" si="193"/>
        <v>-0.49</v>
      </c>
      <c r="O699" s="183">
        <f t="shared" si="194"/>
        <v>0</v>
      </c>
      <c r="P699" s="184">
        <f t="shared" si="195"/>
        <v>0</v>
      </c>
      <c r="Q699" s="184">
        <f t="shared" si="196"/>
        <v>-0.49</v>
      </c>
      <c r="R69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24100</v>
      </c>
      <c r="T69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699" s="186">
        <f ca="1">IF(Tabla33610673[[#This Row],[Equity]]&lt;Tabla33610673[[#This Row],[Equity Peak]],(Tabla33610673[[#This Row],[Equity Peak]]-Tabla33610673[[#This Row],[Equity]])/Tabla33610673[[#This Row],[Equity Peak]],"")</f>
        <v>8.6688773093320695E-2</v>
      </c>
      <c r="V699" s="187">
        <f t="shared" si="197"/>
        <v>-0.49</v>
      </c>
      <c r="W699" s="187">
        <f t="shared" si="198"/>
        <v>0</v>
      </c>
      <c r="X699" s="187">
        <f t="shared" si="199"/>
        <v>0</v>
      </c>
      <c r="Y699" s="187">
        <f t="shared" si="200"/>
        <v>0</v>
      </c>
      <c r="Z699" s="187">
        <f t="shared" si="201"/>
        <v>0</v>
      </c>
      <c r="AA699" s="183">
        <f t="shared" si="202"/>
        <v>0</v>
      </c>
      <c r="AB699" s="187">
        <f t="shared" si="203"/>
        <v>0</v>
      </c>
      <c r="AC699" s="183">
        <f t="shared" si="204"/>
        <v>0</v>
      </c>
      <c r="AD699" s="188">
        <f t="shared" si="205"/>
        <v>9.9999999998544808E-2</v>
      </c>
      <c r="AE699" s="188">
        <f t="shared" si="206"/>
        <v>0</v>
      </c>
      <c r="AF699" s="188">
        <f t="shared" si="207"/>
        <v>9.9999999998544808E-2</v>
      </c>
      <c r="AG699" s="188">
        <f t="shared" si="208"/>
        <v>0</v>
      </c>
    </row>
    <row r="700" spans="2:33" ht="15" customHeight="1" x14ac:dyDescent="0.15">
      <c r="B700" s="174" t="s">
        <v>19</v>
      </c>
      <c r="C700" s="175" t="s">
        <v>15</v>
      </c>
      <c r="D700" s="176" t="str">
        <f t="shared" si="190"/>
        <v>C</v>
      </c>
      <c r="E700" s="177" t="d">
        <v>2021-02-05T07:44:59.99999979045242400</v>
      </c>
      <c r="F700" s="178" t="s">
        <v>77</v>
      </c>
      <c r="G700" s="179">
        <v>1798.19</v>
      </c>
      <c r="H700" s="179">
        <v>1790.63</v>
      </c>
      <c r="I700" s="180">
        <f t="shared" si="191"/>
        <v>7.5599999999999454</v>
      </c>
      <c r="J700" s="179">
        <v>1834.49</v>
      </c>
      <c r="K700" s="177" t="d">
        <v>2021-02-05T15:24:00.00000029336660775</v>
      </c>
      <c r="L700" s="179">
        <v>1795.01</v>
      </c>
      <c r="M700" s="181">
        <f t="shared" si="192"/>
        <v>-3.18</v>
      </c>
      <c r="N700" s="182">
        <f t="shared" si="193"/>
        <v>-0.42</v>
      </c>
      <c r="O700" s="183">
        <f t="shared" si="194"/>
        <v>0</v>
      </c>
      <c r="P700" s="184">
        <f t="shared" si="195"/>
        <v>0</v>
      </c>
      <c r="Q700" s="184">
        <f t="shared" si="196"/>
        <v>-0.42</v>
      </c>
      <c r="R70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24222.5</v>
      </c>
      <c r="T70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00" s="186">
        <f ca="1">IF(Tabla33610673[[#This Row],[Equity]]&lt;Tabla33610673[[#This Row],[Equity Peak]],(Tabla33610673[[#This Row],[Equity Peak]]-Tabla33610673[[#This Row],[Equity]])/Tabla33610673[[#This Row],[Equity Peak]],"")</f>
        <v>8.2046423495973478E-2</v>
      </c>
      <c r="V700" s="187">
        <f t="shared" si="197"/>
        <v>0</v>
      </c>
      <c r="W700" s="187">
        <f t="shared" si="198"/>
        <v>0</v>
      </c>
      <c r="X700" s="187">
        <f t="shared" si="199"/>
        <v>-0.42</v>
      </c>
      <c r="Y700" s="187">
        <f t="shared" si="200"/>
        <v>0</v>
      </c>
      <c r="Z700" s="187">
        <f t="shared" si="201"/>
        <v>0</v>
      </c>
      <c r="AA700" s="183">
        <f t="shared" si="202"/>
        <v>0</v>
      </c>
      <c r="AB700" s="187">
        <f t="shared" si="203"/>
        <v>0</v>
      </c>
      <c r="AC700" s="183">
        <f t="shared" si="204"/>
        <v>0</v>
      </c>
      <c r="AD700" s="188">
        <f t="shared" si="205"/>
        <v>0.31875000000582077</v>
      </c>
      <c r="AE700" s="188">
        <f t="shared" si="206"/>
        <v>0</v>
      </c>
      <c r="AF700" s="188">
        <f t="shared" si="207"/>
        <v>0.31875000000582077</v>
      </c>
      <c r="AG700" s="188">
        <f t="shared" si="208"/>
        <v>0</v>
      </c>
    </row>
    <row r="701" spans="2:33" ht="15" customHeight="1" x14ac:dyDescent="0.15">
      <c r="B701" s="174" t="s">
        <v>7</v>
      </c>
      <c r="C701" s="175" t="s">
        <v>15</v>
      </c>
      <c r="D701" s="176" t="str">
        <f t="shared" si="190"/>
        <v>C</v>
      </c>
      <c r="E701" s="177" t="d">
        <v>2021-02-04T07:30:00.000</v>
      </c>
      <c r="F701" s="178" t="s">
        <v>103</v>
      </c>
      <c r="G701" s="179">
        <v>105.18300000000001</v>
      </c>
      <c r="H701" s="179">
        <v>105.039</v>
      </c>
      <c r="I701" s="180">
        <f t="shared" si="191"/>
        <v>0.14400000000000546</v>
      </c>
      <c r="J701" s="179">
        <v>106.08799999999999</v>
      </c>
      <c r="K701" s="177" t="d">
        <v>2021-02-05T10:15:00.00000020954757600</v>
      </c>
      <c r="L701" s="179">
        <v>105.44499999999999</v>
      </c>
      <c r="M701" s="181">
        <f t="shared" si="192"/>
        <v>0.26200000000000001</v>
      </c>
      <c r="N701" s="182">
        <f t="shared" si="193"/>
        <v>1.82</v>
      </c>
      <c r="O701" s="183">
        <f t="shared" si="194"/>
        <v>0</v>
      </c>
      <c r="P701" s="184">
        <f t="shared" si="195"/>
        <v>1.82</v>
      </c>
      <c r="Q701" s="184">
        <f t="shared" si="196"/>
        <v>0</v>
      </c>
      <c r="R70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24327.5</v>
      </c>
      <c r="T70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01" s="186">
        <f ca="1">IF(Tabla33610673[[#This Row],[Equity]]&lt;Tabla33610673[[#This Row],[Equity Peak]],(Tabla33610673[[#This Row],[Equity Peak]]-Tabla33610673[[#This Row],[Equity]])/Tabla33610673[[#This Row],[Equity Peak]],"")</f>
        <v>7.8067266698247276E-2</v>
      </c>
      <c r="V701" s="187">
        <f t="shared" si="197"/>
        <v>1.82</v>
      </c>
      <c r="W701" s="187">
        <f t="shared" si="198"/>
        <v>0</v>
      </c>
      <c r="X701" s="187">
        <f t="shared" si="199"/>
        <v>0</v>
      </c>
      <c r="Y701" s="187">
        <f t="shared" si="200"/>
        <v>0</v>
      </c>
      <c r="Z701" s="187">
        <f t="shared" si="201"/>
        <v>0</v>
      </c>
      <c r="AA701" s="183">
        <f t="shared" si="202"/>
        <v>0</v>
      </c>
      <c r="AB701" s="187">
        <f t="shared" si="203"/>
        <v>0</v>
      </c>
      <c r="AC701" s="183">
        <f t="shared" si="204"/>
        <v>0</v>
      </c>
      <c r="AD701" s="188">
        <f t="shared" si="205"/>
        <v>1.1145833333357587</v>
      </c>
      <c r="AE701" s="188">
        <f t="shared" si="206"/>
        <v>1.1145833333357587</v>
      </c>
      <c r="AF701" s="188">
        <f t="shared" si="207"/>
        <v>0</v>
      </c>
      <c r="AG701" s="188">
        <f t="shared" si="208"/>
        <v>0</v>
      </c>
    </row>
    <row r="702" spans="2:33" ht="15" customHeight="1" x14ac:dyDescent="0.15">
      <c r="B702" s="174" t="s">
        <v>7</v>
      </c>
      <c r="C702" s="175" t="s">
        <v>13</v>
      </c>
      <c r="D702" s="176" t="str">
        <f t="shared" si="190"/>
        <v>C</v>
      </c>
      <c r="E702" s="177" t="d">
        <v>2021-02-04T05:45:00.00000020954757600</v>
      </c>
      <c r="F702" s="178" t="s">
        <v>102</v>
      </c>
      <c r="G702" s="179">
        <v>143.05000000000001</v>
      </c>
      <c r="H702" s="179">
        <v>143.27600000000001</v>
      </c>
      <c r="I702" s="180">
        <f t="shared" si="191"/>
        <v>0.22599999999999909</v>
      </c>
      <c r="J702" s="179">
        <v>141.84200000000001</v>
      </c>
      <c r="K702" s="177" t="d">
        <v>2021-02-04T14:03:59.999999734573066125</v>
      </c>
      <c r="L702" s="179">
        <v>143.21</v>
      </c>
      <c r="M702" s="181">
        <f t="shared" si="192"/>
        <v>-0.16</v>
      </c>
      <c r="N702" s="182">
        <f t="shared" si="193"/>
        <v>-0.71</v>
      </c>
      <c r="O702" s="183">
        <f t="shared" si="194"/>
        <v>0</v>
      </c>
      <c r="P702" s="184">
        <f t="shared" si="195"/>
        <v>0</v>
      </c>
      <c r="Q702" s="184">
        <f t="shared" si="196"/>
        <v>-0.71</v>
      </c>
      <c r="R70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23872.5</v>
      </c>
      <c r="T70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02" s="186">
        <f ca="1">IF(Tabla33610673[[#This Row],[Equity]]&lt;Tabla33610673[[#This Row],[Equity Peak]],(Tabla33610673[[#This Row],[Equity Peak]]-Tabla33610673[[#This Row],[Equity]])/Tabla33610673[[#This Row],[Equity Peak]],"")</f>
        <v>9.5310279488394128E-2</v>
      </c>
      <c r="V702" s="187">
        <f t="shared" si="197"/>
        <v>-0.71</v>
      </c>
      <c r="W702" s="187">
        <f t="shared" si="198"/>
        <v>0</v>
      </c>
      <c r="X702" s="187">
        <f t="shared" si="199"/>
        <v>0</v>
      </c>
      <c r="Y702" s="187">
        <f t="shared" si="200"/>
        <v>0</v>
      </c>
      <c r="Z702" s="187">
        <f t="shared" si="201"/>
        <v>0</v>
      </c>
      <c r="AA702" s="183">
        <f t="shared" si="202"/>
        <v>0</v>
      </c>
      <c r="AB702" s="187">
        <f t="shared" si="203"/>
        <v>0</v>
      </c>
      <c r="AC702" s="183">
        <f t="shared" si="204"/>
        <v>0</v>
      </c>
      <c r="AD702" s="188">
        <f t="shared" si="205"/>
        <v>0.34652777777228039</v>
      </c>
      <c r="AE702" s="188">
        <f t="shared" si="206"/>
        <v>0</v>
      </c>
      <c r="AF702" s="188">
        <f t="shared" si="207"/>
        <v>0.34652777777228039</v>
      </c>
      <c r="AG702" s="188">
        <f t="shared" si="208"/>
        <v>0</v>
      </c>
    </row>
    <row r="703" spans="2:33" ht="15" customHeight="1" x14ac:dyDescent="0.15">
      <c r="B703" s="174" t="s">
        <v>5</v>
      </c>
      <c r="C703" s="175" t="s">
        <v>15</v>
      </c>
      <c r="D703" s="176" t="str">
        <f t="shared" si="190"/>
        <v>C</v>
      </c>
      <c r="E703" s="177" t="d">
        <v>2021-02-01T21:45:00.000</v>
      </c>
      <c r="F703" s="178" t="s">
        <v>82</v>
      </c>
      <c r="G703" s="179">
        <v>3783.3</v>
      </c>
      <c r="H703" s="179">
        <v>3749.19</v>
      </c>
      <c r="I703" s="180">
        <f t="shared" si="191"/>
        <v>34.110000000000127</v>
      </c>
      <c r="J703" s="179">
        <v>4004.99</v>
      </c>
      <c r="K703" s="177" t="d">
        <v>2021-02-03T17:23:59.99999987427145575</v>
      </c>
      <c r="L703" s="179">
        <v>3819.22</v>
      </c>
      <c r="M703" s="181">
        <f t="shared" si="192"/>
        <v>35.92</v>
      </c>
      <c r="N703" s="182">
        <f t="shared" si="193"/>
        <v>1.05</v>
      </c>
      <c r="O703" s="183">
        <f t="shared" si="194"/>
        <v>0</v>
      </c>
      <c r="P703" s="184">
        <f t="shared" si="195"/>
        <v>1.05</v>
      </c>
      <c r="Q703" s="184">
        <f t="shared" si="196"/>
        <v>0</v>
      </c>
      <c r="R70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24050</v>
      </c>
      <c r="T70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03" s="186">
        <f ca="1">IF(Tabla33610673[[#This Row],[Equity]]&lt;Tabla33610673[[#This Row],[Equity Peak]],(Tabla33610673[[#This Row],[Equity Peak]]-Tabla33610673[[#This Row],[Equity]])/Tabla33610673[[#This Row],[Equity Peak]],"")</f>
        <v>8.8583609663666504E-2</v>
      </c>
      <c r="V703" s="187">
        <f t="shared" si="197"/>
        <v>0</v>
      </c>
      <c r="W703" s="187">
        <f t="shared" si="198"/>
        <v>0</v>
      </c>
      <c r="X703" s="187">
        <f t="shared" si="199"/>
        <v>0</v>
      </c>
      <c r="Y703" s="187">
        <f t="shared" si="200"/>
        <v>0</v>
      </c>
      <c r="Z703" s="187">
        <f t="shared" si="201"/>
        <v>1.05</v>
      </c>
      <c r="AA703" s="183">
        <f t="shared" si="202"/>
        <v>0</v>
      </c>
      <c r="AB703" s="187">
        <f t="shared" si="203"/>
        <v>0</v>
      </c>
      <c r="AC703" s="183">
        <f t="shared" si="204"/>
        <v>0</v>
      </c>
      <c r="AD703" s="188">
        <f t="shared" si="205"/>
        <v>1.8187499999985448</v>
      </c>
      <c r="AE703" s="188">
        <f t="shared" si="206"/>
        <v>1.8187499999985448</v>
      </c>
      <c r="AF703" s="188">
        <f t="shared" si="207"/>
        <v>0</v>
      </c>
      <c r="AG703" s="188">
        <f t="shared" si="208"/>
        <v>0</v>
      </c>
    </row>
    <row r="704" spans="2:33" ht="15" customHeight="1" x14ac:dyDescent="0.15">
      <c r="B704" s="174" t="s">
        <v>5</v>
      </c>
      <c r="C704" s="175" t="s">
        <v>15</v>
      </c>
      <c r="D704" s="176" t="str">
        <f t="shared" si="190"/>
        <v>C</v>
      </c>
      <c r="E704" s="177" t="d">
        <v>2021-02-01T18:45:00.000</v>
      </c>
      <c r="F704" s="178" t="s">
        <v>81</v>
      </c>
      <c r="G704" s="179">
        <v>13191.15</v>
      </c>
      <c r="H704" s="179">
        <v>13073.76</v>
      </c>
      <c r="I704" s="180">
        <f t="shared" si="191"/>
        <v>117.38999999999942</v>
      </c>
      <c r="J704" s="179">
        <v>13895.48</v>
      </c>
      <c r="K704" s="177" t="d">
        <v>2021-02-03T16:35:59.99999991618096825</v>
      </c>
      <c r="L704" s="179">
        <v>13520.78</v>
      </c>
      <c r="M704" s="181">
        <f t="shared" si="192"/>
        <v>329.63</v>
      </c>
      <c r="N704" s="182">
        <f t="shared" si="193"/>
        <v>2.81</v>
      </c>
      <c r="O704" s="183">
        <f t="shared" si="194"/>
        <v>0</v>
      </c>
      <c r="P704" s="184">
        <f t="shared" si="195"/>
        <v>2.81</v>
      </c>
      <c r="Q704" s="184">
        <f t="shared" si="196"/>
        <v>0</v>
      </c>
      <c r="R70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23787.5</v>
      </c>
      <c r="T70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04" s="186">
        <f ca="1">IF(Tabla33610673[[#This Row],[Equity]]&lt;Tabla33610673[[#This Row],[Equity Peak]],(Tabla33610673[[#This Row],[Equity Peak]]-Tabla33610673[[#This Row],[Equity]])/Tabla33610673[[#This Row],[Equity Peak]],"")</f>
        <v>9.8531501657981996E-2</v>
      </c>
      <c r="V704" s="187">
        <f t="shared" si="197"/>
        <v>0</v>
      </c>
      <c r="W704" s="187">
        <f t="shared" si="198"/>
        <v>0</v>
      </c>
      <c r="X704" s="187">
        <f t="shared" si="199"/>
        <v>0</v>
      </c>
      <c r="Y704" s="187">
        <f t="shared" si="200"/>
        <v>0</v>
      </c>
      <c r="Z704" s="187">
        <f t="shared" si="201"/>
        <v>2.81</v>
      </c>
      <c r="AA704" s="183">
        <f t="shared" si="202"/>
        <v>0</v>
      </c>
      <c r="AB704" s="187">
        <f t="shared" si="203"/>
        <v>0</v>
      </c>
      <c r="AC704" s="183">
        <f t="shared" si="204"/>
        <v>0</v>
      </c>
      <c r="AD704" s="188">
        <f t="shared" si="205"/>
        <v>1.9104166666656965</v>
      </c>
      <c r="AE704" s="188">
        <f t="shared" si="206"/>
        <v>1.9104166666656965</v>
      </c>
      <c r="AF704" s="188">
        <f t="shared" si="207"/>
        <v>0</v>
      </c>
      <c r="AG704" s="188">
        <f t="shared" si="208"/>
        <v>0</v>
      </c>
    </row>
    <row r="705" spans="2:33" ht="15" customHeight="1" x14ac:dyDescent="0.15">
      <c r="B705" s="174" t="s">
        <v>7</v>
      </c>
      <c r="C705" s="175" t="s">
        <v>15</v>
      </c>
      <c r="D705" s="176" t="str">
        <f t="shared" si="190"/>
        <v>C</v>
      </c>
      <c r="E705" s="177" t="d">
        <v>2021-02-01T15:30:00.00000020954757600</v>
      </c>
      <c r="F705" s="178" t="s">
        <v>103</v>
      </c>
      <c r="G705" s="179">
        <v>104.974</v>
      </c>
      <c r="H705" s="179">
        <v>104.822</v>
      </c>
      <c r="I705" s="180">
        <f t="shared" si="191"/>
        <v>0.15200000000000102</v>
      </c>
      <c r="J705" s="179">
        <v>105.92700000000001</v>
      </c>
      <c r="K705" s="177" t="d">
        <v>2021-02-02T23:51:59.99999969266355025</v>
      </c>
      <c r="L705" s="179">
        <v>104.952</v>
      </c>
      <c r="M705" s="181">
        <f t="shared" si="192"/>
        <v>-2.1999999999999999E-2</v>
      </c>
      <c r="N705" s="182">
        <f t="shared" si="193"/>
        <v>-0.14000000000000001</v>
      </c>
      <c r="O705" s="183">
        <f t="shared" si="194"/>
        <v>0</v>
      </c>
      <c r="P705" s="184">
        <f t="shared" si="195"/>
        <v>0</v>
      </c>
      <c r="Q705" s="184">
        <f t="shared" si="196"/>
        <v>-0.14000000000000001</v>
      </c>
      <c r="R70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23085</v>
      </c>
      <c r="T70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05" s="186">
        <f ca="1">IF(Tabla33610673[[#This Row],[Equity]]&lt;Tabla33610673[[#This Row],[Equity Peak]],(Tabla33610673[[#This Row],[Equity Peak]]-Tabla33610673[[#This Row],[Equity]])/Tabla33610673[[#This Row],[Equity Peak]],"")</f>
        <v>0.12515395547134059</v>
      </c>
      <c r="V705" s="187">
        <f t="shared" si="197"/>
        <v>-0.14000000000000001</v>
      </c>
      <c r="W705" s="187">
        <f t="shared" si="198"/>
        <v>0</v>
      </c>
      <c r="X705" s="187">
        <f t="shared" si="199"/>
        <v>0</v>
      </c>
      <c r="Y705" s="187">
        <f t="shared" si="200"/>
        <v>0</v>
      </c>
      <c r="Z705" s="187">
        <f t="shared" si="201"/>
        <v>0</v>
      </c>
      <c r="AA705" s="183">
        <f t="shared" si="202"/>
        <v>0</v>
      </c>
      <c r="AB705" s="187">
        <f t="shared" si="203"/>
        <v>0</v>
      </c>
      <c r="AC705" s="183">
        <f t="shared" si="204"/>
        <v>0</v>
      </c>
      <c r="AD705" s="188">
        <f t="shared" si="205"/>
        <v>1.3486111111051287</v>
      </c>
      <c r="AE705" s="188">
        <f t="shared" si="206"/>
        <v>0</v>
      </c>
      <c r="AF705" s="188">
        <f t="shared" si="207"/>
        <v>1.3486111111051287</v>
      </c>
      <c r="AG705" s="188">
        <f t="shared" si="208"/>
        <v>0</v>
      </c>
    </row>
    <row r="706" spans="2:33" ht="15" customHeight="1" x14ac:dyDescent="0.15">
      <c r="B706" s="174" t="s">
        <v>19</v>
      </c>
      <c r="C706" s="175" t="s">
        <v>15</v>
      </c>
      <c r="D706" s="176" t="str">
        <f t="shared" si="190"/>
        <v>C</v>
      </c>
      <c r="E706" s="177" t="d">
        <v>2021-02-01T08:29:59.99999979045242400</v>
      </c>
      <c r="F706" s="178" t="s">
        <v>77</v>
      </c>
      <c r="G706" s="179">
        <v>1866.28</v>
      </c>
      <c r="H706" s="179">
        <v>1859.24</v>
      </c>
      <c r="I706" s="180">
        <f t="shared" si="191"/>
        <v>7.0399999999999636</v>
      </c>
      <c r="J706" s="179">
        <v>1900.05</v>
      </c>
      <c r="K706" s="177" t="d">
        <v>2021-02-01T12:20:59.99999970663339225</v>
      </c>
      <c r="L706" s="179">
        <v>1859.24</v>
      </c>
      <c r="M706" s="181">
        <f t="shared" si="192"/>
        <v>-7.04</v>
      </c>
      <c r="N706" s="182">
        <f t="shared" si="193"/>
        <v>-1</v>
      </c>
      <c r="O706" s="183">
        <f t="shared" si="194"/>
        <v>0</v>
      </c>
      <c r="P706" s="184">
        <f t="shared" si="195"/>
        <v>0</v>
      </c>
      <c r="Q706" s="184">
        <f t="shared" si="196"/>
        <v>-1</v>
      </c>
      <c r="R70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23120</v>
      </c>
      <c r="T70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06" s="186">
        <f ca="1">IF(Tabla33610673[[#This Row],[Equity]]&lt;Tabla33610673[[#This Row],[Equity Peak]],(Tabla33610673[[#This Row],[Equity Peak]]-Tabla33610673[[#This Row],[Equity]])/Tabla33610673[[#This Row],[Equity Peak]],"")</f>
        <v>0.12382756987209853</v>
      </c>
      <c r="V706" s="187">
        <f t="shared" si="197"/>
        <v>0</v>
      </c>
      <c r="W706" s="187">
        <f t="shared" si="198"/>
        <v>0</v>
      </c>
      <c r="X706" s="187">
        <f t="shared" si="199"/>
        <v>-1</v>
      </c>
      <c r="Y706" s="187">
        <f t="shared" si="200"/>
        <v>0</v>
      </c>
      <c r="Z706" s="187">
        <f t="shared" si="201"/>
        <v>0</v>
      </c>
      <c r="AA706" s="183">
        <f t="shared" si="202"/>
        <v>0</v>
      </c>
      <c r="AB706" s="187">
        <f t="shared" si="203"/>
        <v>0</v>
      </c>
      <c r="AC706" s="183">
        <f t="shared" si="204"/>
        <v>0</v>
      </c>
      <c r="AD706" s="188">
        <f t="shared" si="205"/>
        <v>0.16041666666569654</v>
      </c>
      <c r="AE706" s="188">
        <f t="shared" si="206"/>
        <v>0</v>
      </c>
      <c r="AF706" s="188">
        <f t="shared" si="207"/>
        <v>0.16041666666569654</v>
      </c>
      <c r="AG706" s="188">
        <f t="shared" si="208"/>
        <v>0</v>
      </c>
    </row>
    <row r="707" spans="2:33" ht="15" customHeight="1" x14ac:dyDescent="0.15">
      <c r="B707" s="174" t="s">
        <v>5</v>
      </c>
      <c r="C707" s="175" t="s">
        <v>13</v>
      </c>
      <c r="D707" s="176" t="str">
        <f t="shared" si="190"/>
        <v>C</v>
      </c>
      <c r="E707" s="177" t="d">
        <v>2021-02-01T01:15:00.00000020954757600</v>
      </c>
      <c r="F707" s="178" t="s">
        <v>81</v>
      </c>
      <c r="G707" s="179">
        <v>12780.85</v>
      </c>
      <c r="H707" s="179">
        <v>12908.36</v>
      </c>
      <c r="I707" s="180">
        <f t="shared" si="191"/>
        <v>127.51000000000022</v>
      </c>
      <c r="J707" s="179">
        <v>12015.79</v>
      </c>
      <c r="K707" s="177" t="d">
        <v>2021-02-01T05:20:59.99999991618096825</v>
      </c>
      <c r="L707" s="179">
        <v>12908.36</v>
      </c>
      <c r="M707" s="181">
        <f t="shared" si="192"/>
        <v>-127.51</v>
      </c>
      <c r="N707" s="182">
        <f t="shared" si="193"/>
        <v>-1</v>
      </c>
      <c r="O707" s="183">
        <f t="shared" si="194"/>
        <v>0</v>
      </c>
      <c r="P707" s="184">
        <f t="shared" si="195"/>
        <v>0</v>
      </c>
      <c r="Q707" s="184">
        <f t="shared" si="196"/>
        <v>-1</v>
      </c>
      <c r="R70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23370</v>
      </c>
      <c r="T70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07" s="186">
        <f ca="1">IF(Tabla33610673[[#This Row],[Equity]]&lt;Tabla33610673[[#This Row],[Equity Peak]],(Tabla33610673[[#This Row],[Equity Peak]]-Tabla33610673[[#This Row],[Equity]])/Tabla33610673[[#This Row],[Equity Peak]],"")</f>
        <v>0.1143533870203695</v>
      </c>
      <c r="V707" s="187">
        <f t="shared" si="197"/>
        <v>0</v>
      </c>
      <c r="W707" s="187">
        <f t="shared" si="198"/>
        <v>0</v>
      </c>
      <c r="X707" s="187">
        <f t="shared" si="199"/>
        <v>0</v>
      </c>
      <c r="Y707" s="187">
        <f t="shared" si="200"/>
        <v>0</v>
      </c>
      <c r="Z707" s="187">
        <f t="shared" si="201"/>
        <v>-1</v>
      </c>
      <c r="AA707" s="183">
        <f t="shared" si="202"/>
        <v>0</v>
      </c>
      <c r="AB707" s="187">
        <f t="shared" si="203"/>
        <v>0</v>
      </c>
      <c r="AC707" s="183">
        <f t="shared" si="204"/>
        <v>0</v>
      </c>
      <c r="AD707" s="188">
        <f t="shared" si="205"/>
        <v>0.17083333332993789</v>
      </c>
      <c r="AE707" s="188">
        <f t="shared" si="206"/>
        <v>0</v>
      </c>
      <c r="AF707" s="188">
        <f t="shared" si="207"/>
        <v>0.17083333332993789</v>
      </c>
      <c r="AG707" s="188">
        <f t="shared" si="208"/>
        <v>0</v>
      </c>
    </row>
    <row r="708" spans="2:33" ht="15" customHeight="1" x14ac:dyDescent="0.15">
      <c r="B708" s="174" t="s">
        <v>5</v>
      </c>
      <c r="C708" s="175" t="s">
        <v>13</v>
      </c>
      <c r="D708" s="176" t="str">
        <f t="shared" si="190"/>
        <v>C</v>
      </c>
      <c r="E708" s="177" t="d">
        <v>2021-02-01T01:15:00.00000020954757600</v>
      </c>
      <c r="F708" s="178" t="s">
        <v>82</v>
      </c>
      <c r="G708" s="179">
        <v>3674.99</v>
      </c>
      <c r="H708" s="179">
        <v>3707.62</v>
      </c>
      <c r="I708" s="180">
        <f t="shared" si="191"/>
        <v>32.630000000000109</v>
      </c>
      <c r="J708" s="179">
        <v>3462.86</v>
      </c>
      <c r="K708" s="177" t="d">
        <v>2021-02-01T04:21:00.00000012572854425</v>
      </c>
      <c r="L708" s="179">
        <v>3707.37</v>
      </c>
      <c r="M708" s="181">
        <f t="shared" si="192"/>
        <v>-32.380000000000003</v>
      </c>
      <c r="N708" s="182">
        <f t="shared" si="193"/>
        <v>-0.99</v>
      </c>
      <c r="O708" s="183">
        <f t="shared" si="194"/>
        <v>0</v>
      </c>
      <c r="P708" s="184">
        <f t="shared" si="195"/>
        <v>0</v>
      </c>
      <c r="Q708" s="184">
        <f t="shared" si="196"/>
        <v>-0.99</v>
      </c>
      <c r="R70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23620</v>
      </c>
      <c r="T70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08" s="186">
        <f ca="1">IF(Tabla33610673[[#This Row],[Equity]]&lt;Tabla33610673[[#This Row],[Equity Peak]],(Tabla33610673[[#This Row],[Equity Peak]]-Tabla33610673[[#This Row],[Equity]])/Tabla33610673[[#This Row],[Equity Peak]],"")</f>
        <v>0.10487920416864045</v>
      </c>
      <c r="V708" s="187">
        <f t="shared" si="197"/>
        <v>0</v>
      </c>
      <c r="W708" s="187">
        <f t="shared" si="198"/>
        <v>0</v>
      </c>
      <c r="X708" s="187">
        <f t="shared" si="199"/>
        <v>0</v>
      </c>
      <c r="Y708" s="187">
        <f t="shared" si="200"/>
        <v>0</v>
      </c>
      <c r="Z708" s="187">
        <f t="shared" si="201"/>
        <v>-0.99</v>
      </c>
      <c r="AA708" s="183">
        <f t="shared" si="202"/>
        <v>0</v>
      </c>
      <c r="AB708" s="187">
        <f t="shared" si="203"/>
        <v>0</v>
      </c>
      <c r="AC708" s="183">
        <f t="shared" si="204"/>
        <v>0</v>
      </c>
      <c r="AD708" s="188">
        <f t="shared" si="205"/>
        <v>0.12916666666569654</v>
      </c>
      <c r="AE708" s="188">
        <f t="shared" si="206"/>
        <v>0</v>
      </c>
      <c r="AF708" s="188">
        <f t="shared" si="207"/>
        <v>0.12916666666569654</v>
      </c>
      <c r="AG708" s="188">
        <f t="shared" si="208"/>
        <v>0</v>
      </c>
    </row>
    <row r="709" spans="2:33" ht="15" customHeight="1" x14ac:dyDescent="0.15">
      <c r="B709" s="174" t="s">
        <v>5</v>
      </c>
      <c r="C709" s="175" t="s">
        <v>13</v>
      </c>
      <c r="D709" s="176" t="str">
        <f t="shared" si="190"/>
        <v>C</v>
      </c>
      <c r="E709" s="177" t="d">
        <v>2021-01-29T19:44:59.99999979045242400</v>
      </c>
      <c r="F709" s="178" t="s">
        <v>81</v>
      </c>
      <c r="G709" s="179">
        <v>12897.85</v>
      </c>
      <c r="H709" s="179">
        <v>13028.31</v>
      </c>
      <c r="I709" s="180">
        <f t="shared" si="191"/>
        <v>130.45999999999913</v>
      </c>
      <c r="J709" s="179">
        <v>12115.12</v>
      </c>
      <c r="K709" s="177" t="d">
        <v>2021-01-29T22:18:00.00000016763806350</v>
      </c>
      <c r="L709" s="179">
        <v>13028.31</v>
      </c>
      <c r="M709" s="181">
        <f t="shared" si="192"/>
        <v>-130.46</v>
      </c>
      <c r="N709" s="182">
        <f t="shared" si="193"/>
        <v>-1</v>
      </c>
      <c r="O709" s="183">
        <f t="shared" si="194"/>
        <v>0</v>
      </c>
      <c r="P709" s="184">
        <f t="shared" si="195"/>
        <v>0</v>
      </c>
      <c r="Q709" s="184">
        <f t="shared" si="196"/>
        <v>-1</v>
      </c>
      <c r="R70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23867.5</v>
      </c>
      <c r="T70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09" s="186">
        <f ca="1">IF(Tabla33610673[[#This Row],[Equity]]&lt;Tabla33610673[[#This Row],[Equity Peak]],(Tabla33610673[[#This Row],[Equity Peak]]-Tabla33610673[[#This Row],[Equity]])/Tabla33610673[[#This Row],[Equity Peak]],"")</f>
        <v>9.5499763145428712E-2</v>
      </c>
      <c r="V709" s="187">
        <f t="shared" si="197"/>
        <v>0</v>
      </c>
      <c r="W709" s="187">
        <f t="shared" si="198"/>
        <v>0</v>
      </c>
      <c r="X709" s="187">
        <f t="shared" si="199"/>
        <v>0</v>
      </c>
      <c r="Y709" s="187">
        <f t="shared" si="200"/>
        <v>0</v>
      </c>
      <c r="Z709" s="187">
        <f t="shared" si="201"/>
        <v>-1</v>
      </c>
      <c r="AA709" s="183">
        <f t="shared" si="202"/>
        <v>0</v>
      </c>
      <c r="AB709" s="187">
        <f t="shared" si="203"/>
        <v>0</v>
      </c>
      <c r="AC709" s="183">
        <f t="shared" si="204"/>
        <v>0</v>
      </c>
      <c r="AD709" s="188">
        <f t="shared" si="205"/>
        <v>0.10625000000436557</v>
      </c>
      <c r="AE709" s="188">
        <f t="shared" si="206"/>
        <v>0</v>
      </c>
      <c r="AF709" s="188">
        <f t="shared" si="207"/>
        <v>0.10625000000436557</v>
      </c>
      <c r="AG709" s="188">
        <f t="shared" si="208"/>
        <v>0</v>
      </c>
    </row>
    <row r="710" spans="2:33" ht="15" customHeight="1" x14ac:dyDescent="0.15">
      <c r="B710" s="174" t="s">
        <v>5</v>
      </c>
      <c r="C710" s="175" t="s">
        <v>13</v>
      </c>
      <c r="D710" s="176" t="str">
        <f t="shared" si="190"/>
        <v>C</v>
      </c>
      <c r="E710" s="177" t="d">
        <v>2021-01-29T19:30:00.000</v>
      </c>
      <c r="F710" s="178" t="s">
        <v>82</v>
      </c>
      <c r="G710" s="179">
        <v>3718.11</v>
      </c>
      <c r="H710" s="179">
        <v>3748.58</v>
      </c>
      <c r="I710" s="180">
        <f t="shared" si="191"/>
        <v>30.4699999999998</v>
      </c>
      <c r="J710" s="179">
        <v>3520.05</v>
      </c>
      <c r="K710" s="177" t="d">
        <v>2021-01-29T22:03:59.99999994412064550</v>
      </c>
      <c r="L710" s="179">
        <v>3733.19</v>
      </c>
      <c r="M710" s="181">
        <f t="shared" si="192"/>
        <v>-15.08</v>
      </c>
      <c r="N710" s="182">
        <f t="shared" si="193"/>
        <v>-0.49</v>
      </c>
      <c r="O710" s="183">
        <f t="shared" si="194"/>
        <v>0</v>
      </c>
      <c r="P710" s="184">
        <f t="shared" si="195"/>
        <v>0</v>
      </c>
      <c r="Q710" s="184">
        <f t="shared" si="196"/>
        <v>-0.49</v>
      </c>
      <c r="R71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24117.5</v>
      </c>
      <c r="T71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10" s="186">
        <f ca="1">IF(Tabla33610673[[#This Row],[Equity]]&lt;Tabla33610673[[#This Row],[Equity Peak]],(Tabla33610673[[#This Row],[Equity Peak]]-Tabla33610673[[#This Row],[Equity]])/Tabla33610673[[#This Row],[Equity Peak]],"")</f>
        <v>8.6025580293699666E-2</v>
      </c>
      <c r="V710" s="187">
        <f t="shared" si="197"/>
        <v>0</v>
      </c>
      <c r="W710" s="187">
        <f t="shared" si="198"/>
        <v>0</v>
      </c>
      <c r="X710" s="187">
        <f t="shared" si="199"/>
        <v>0</v>
      </c>
      <c r="Y710" s="187">
        <f t="shared" si="200"/>
        <v>0</v>
      </c>
      <c r="Z710" s="187">
        <f t="shared" si="201"/>
        <v>-0.49</v>
      </c>
      <c r="AA710" s="183">
        <f t="shared" si="202"/>
        <v>0</v>
      </c>
      <c r="AB710" s="187">
        <f t="shared" si="203"/>
        <v>0</v>
      </c>
      <c r="AC710" s="183">
        <f t="shared" si="204"/>
        <v>0</v>
      </c>
      <c r="AD710" s="188">
        <f t="shared" si="205"/>
        <v>0.10694444444379769</v>
      </c>
      <c r="AE710" s="188">
        <f t="shared" si="206"/>
        <v>0</v>
      </c>
      <c r="AF710" s="188">
        <f t="shared" si="207"/>
        <v>0.10694444444379769</v>
      </c>
      <c r="AG710" s="188">
        <f t="shared" si="208"/>
        <v>0</v>
      </c>
    </row>
    <row r="711" spans="2:33" ht="15" customHeight="1" x14ac:dyDescent="0.15">
      <c r="B711" s="174" t="s">
        <v>7</v>
      </c>
      <c r="C711" s="175" t="s">
        <v>15</v>
      </c>
      <c r="D711" s="176" t="str">
        <f t="shared" si="190"/>
        <v>C</v>
      </c>
      <c r="E711" s="177" t="d">
        <v>2021-01-28T16:44:59.99999979045242400</v>
      </c>
      <c r="F711" s="178" t="s">
        <v>102</v>
      </c>
      <c r="G711" s="179">
        <v>143.06399999999999</v>
      </c>
      <c r="H711" s="179">
        <v>142.72800000000001</v>
      </c>
      <c r="I711" s="180">
        <f t="shared" si="191"/>
        <v>0.33599999999998431</v>
      </c>
      <c r="J711" s="179">
        <v>144.85400000000001</v>
      </c>
      <c r="K711" s="177" t="d">
        <v>2021-01-29T19:50:59.99999970663339225</v>
      </c>
      <c r="L711" s="179">
        <v>143.48699999999999</v>
      </c>
      <c r="M711" s="181">
        <f t="shared" si="192"/>
        <v>0.42299999999999999</v>
      </c>
      <c r="N711" s="182">
        <f t="shared" si="193"/>
        <v>1.26</v>
      </c>
      <c r="O711" s="183">
        <f t="shared" si="194"/>
        <v>0</v>
      </c>
      <c r="P711" s="184">
        <f t="shared" si="195"/>
        <v>1.26</v>
      </c>
      <c r="Q711" s="184">
        <f t="shared" si="196"/>
        <v>0</v>
      </c>
      <c r="R71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24240</v>
      </c>
      <c r="T71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11" s="186">
        <f ca="1">IF(Tabla33610673[[#This Row],[Equity]]&lt;Tabla33610673[[#This Row],[Equity Peak]],(Tabla33610673[[#This Row],[Equity Peak]]-Tabla33610673[[#This Row],[Equity]])/Tabla33610673[[#This Row],[Equity Peak]],"")</f>
        <v>8.1383230696352435E-2</v>
      </c>
      <c r="V711" s="187">
        <f t="shared" si="197"/>
        <v>1.26</v>
      </c>
      <c r="W711" s="187">
        <f t="shared" si="198"/>
        <v>0</v>
      </c>
      <c r="X711" s="187">
        <f t="shared" si="199"/>
        <v>0</v>
      </c>
      <c r="Y711" s="187">
        <f t="shared" si="200"/>
        <v>0</v>
      </c>
      <c r="Z711" s="187">
        <f t="shared" si="201"/>
        <v>0</v>
      </c>
      <c r="AA711" s="183">
        <f t="shared" si="202"/>
        <v>0</v>
      </c>
      <c r="AB711" s="187">
        <f t="shared" si="203"/>
        <v>0</v>
      </c>
      <c r="AC711" s="183">
        <f t="shared" si="204"/>
        <v>0</v>
      </c>
      <c r="AD711" s="188">
        <f t="shared" si="205"/>
        <v>1.1291666666656965</v>
      </c>
      <c r="AE711" s="188">
        <f t="shared" si="206"/>
        <v>1.1291666666656965</v>
      </c>
      <c r="AF711" s="188">
        <f t="shared" si="207"/>
        <v>0</v>
      </c>
      <c r="AG711" s="188">
        <f t="shared" si="208"/>
        <v>0</v>
      </c>
    </row>
    <row r="712" spans="2:33" ht="15" customHeight="1" x14ac:dyDescent="0.15">
      <c r="B712" s="174" t="s">
        <v>19</v>
      </c>
      <c r="C712" s="175" t="s">
        <v>15</v>
      </c>
      <c r="D712" s="176" t="str">
        <f t="shared" si="190"/>
        <v>C</v>
      </c>
      <c r="E712" s="177" t="d">
        <v>2021-01-29T11:15:00.000</v>
      </c>
      <c r="F712" s="178" t="s">
        <v>77</v>
      </c>
      <c r="G712" s="179">
        <v>1852.4</v>
      </c>
      <c r="H712" s="179">
        <v>1845.98</v>
      </c>
      <c r="I712" s="180">
        <f t="shared" si="191"/>
        <v>6.4200000000000728</v>
      </c>
      <c r="J712" s="179">
        <v>1883.22</v>
      </c>
      <c r="K712" s="177" t="d">
        <v>2021-01-29T16:24:00.00000008381903175</v>
      </c>
      <c r="L712" s="179">
        <v>1867.15</v>
      </c>
      <c r="M712" s="181">
        <f t="shared" si="192"/>
        <v>14.75</v>
      </c>
      <c r="N712" s="182">
        <f t="shared" si="193"/>
        <v>2.2999999999999998</v>
      </c>
      <c r="O712" s="183">
        <f t="shared" si="194"/>
        <v>0</v>
      </c>
      <c r="P712" s="184">
        <f t="shared" si="195"/>
        <v>2.2999999999999998</v>
      </c>
      <c r="Q712" s="184">
        <f t="shared" si="196"/>
        <v>0</v>
      </c>
      <c r="R71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23925</v>
      </c>
      <c r="T71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12" s="186">
        <f ca="1">IF(Tabla33610673[[#This Row],[Equity]]&lt;Tabla33610673[[#This Row],[Equity Peak]],(Tabla33610673[[#This Row],[Equity Peak]]-Tabla33610673[[#This Row],[Equity]])/Tabla33610673[[#This Row],[Equity Peak]],"")</f>
        <v>9.3320701089531027E-2</v>
      </c>
      <c r="V712" s="187">
        <f t="shared" si="197"/>
        <v>0</v>
      </c>
      <c r="W712" s="187">
        <f t="shared" si="198"/>
        <v>0</v>
      </c>
      <c r="X712" s="187">
        <f t="shared" si="199"/>
        <v>2.2999999999999998</v>
      </c>
      <c r="Y712" s="187">
        <f t="shared" si="200"/>
        <v>0</v>
      </c>
      <c r="Z712" s="187">
        <f t="shared" si="201"/>
        <v>0</v>
      </c>
      <c r="AA712" s="183">
        <f t="shared" si="202"/>
        <v>0</v>
      </c>
      <c r="AB712" s="187">
        <f t="shared" si="203"/>
        <v>0</v>
      </c>
      <c r="AC712" s="183">
        <f t="shared" si="204"/>
        <v>0</v>
      </c>
      <c r="AD712" s="188">
        <f t="shared" si="205"/>
        <v>0.21458333333430346</v>
      </c>
      <c r="AE712" s="188">
        <f t="shared" si="206"/>
        <v>0.21458333333430346</v>
      </c>
      <c r="AF712" s="188">
        <f t="shared" si="207"/>
        <v>0</v>
      </c>
      <c r="AG712" s="188">
        <f t="shared" si="208"/>
        <v>0</v>
      </c>
    </row>
    <row r="713" spans="2:33" ht="15" customHeight="1" x14ac:dyDescent="0.15">
      <c r="B713" s="174" t="s">
        <v>7</v>
      </c>
      <c r="C713" s="175" t="s">
        <v>15</v>
      </c>
      <c r="D713" s="176" t="str">
        <f t="shared" si="190"/>
        <v>C</v>
      </c>
      <c r="E713" s="177" t="d">
        <v>2021-01-29T02:45:00.00000020954757600</v>
      </c>
      <c r="F713" s="178" t="s">
        <v>103</v>
      </c>
      <c r="G713" s="179">
        <v>104.47199999999999</v>
      </c>
      <c r="H713" s="179">
        <v>104.336</v>
      </c>
      <c r="I713" s="180">
        <f t="shared" si="191"/>
        <v>0.13599999999999568</v>
      </c>
      <c r="J713" s="179">
        <v>105.324</v>
      </c>
      <c r="K713" s="177" t="d">
        <v>2021-01-29T14:06:00.00000012572854425</v>
      </c>
      <c r="L713" s="179">
        <v>104.715</v>
      </c>
      <c r="M713" s="181">
        <f t="shared" si="192"/>
        <v>0.24299999999999999</v>
      </c>
      <c r="N713" s="182">
        <f t="shared" si="193"/>
        <v>1.79</v>
      </c>
      <c r="O713" s="183">
        <f t="shared" si="194"/>
        <v>0</v>
      </c>
      <c r="P713" s="184">
        <f t="shared" si="195"/>
        <v>1.79</v>
      </c>
      <c r="Q713" s="184">
        <f t="shared" si="196"/>
        <v>0</v>
      </c>
      <c r="R71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23350</v>
      </c>
      <c r="T71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13" s="186">
        <f ca="1">IF(Tabla33610673[[#This Row],[Equity]]&lt;Tabla33610673[[#This Row],[Equity Peak]],(Tabla33610673[[#This Row],[Equity Peak]]-Tabla33610673[[#This Row],[Equity]])/Tabla33610673[[#This Row],[Equity Peak]],"")</f>
        <v>0.11511132164850782</v>
      </c>
      <c r="V713" s="187">
        <f t="shared" si="197"/>
        <v>1.79</v>
      </c>
      <c r="W713" s="187">
        <f t="shared" si="198"/>
        <v>0</v>
      </c>
      <c r="X713" s="187">
        <f t="shared" si="199"/>
        <v>0</v>
      </c>
      <c r="Y713" s="187">
        <f t="shared" si="200"/>
        <v>0</v>
      </c>
      <c r="Z713" s="187">
        <f t="shared" si="201"/>
        <v>0</v>
      </c>
      <c r="AA713" s="183">
        <f t="shared" si="202"/>
        <v>0</v>
      </c>
      <c r="AB713" s="187">
        <f t="shared" si="203"/>
        <v>0</v>
      </c>
      <c r="AC713" s="183">
        <f t="shared" si="204"/>
        <v>0</v>
      </c>
      <c r="AD713" s="188">
        <f t="shared" si="205"/>
        <v>0.47291666666569654</v>
      </c>
      <c r="AE713" s="188">
        <f t="shared" si="206"/>
        <v>0.47291666666569654</v>
      </c>
      <c r="AF713" s="188">
        <f t="shared" si="207"/>
        <v>0</v>
      </c>
      <c r="AG713" s="188">
        <f t="shared" si="208"/>
        <v>0</v>
      </c>
    </row>
    <row r="714" spans="2:33" ht="15" customHeight="1" x14ac:dyDescent="0.15">
      <c r="B714" s="174" t="s">
        <v>5</v>
      </c>
      <c r="C714" s="175" t="s">
        <v>13</v>
      </c>
      <c r="D714" s="176" t="str">
        <f t="shared" si="190"/>
        <v>C</v>
      </c>
      <c r="E714" s="177" t="d">
        <v>2021-01-29T07:30:00.000</v>
      </c>
      <c r="F714" s="178" t="s">
        <v>82</v>
      </c>
      <c r="G714" s="179">
        <v>3733.29</v>
      </c>
      <c r="H714" s="179">
        <v>3759.71</v>
      </c>
      <c r="I714" s="180">
        <f t="shared" si="191"/>
        <v>26.420000000000073</v>
      </c>
      <c r="J714" s="179">
        <v>3561.58</v>
      </c>
      <c r="K714" s="177" t="d">
        <v>2021-01-29T13:21:00.00000012572854425</v>
      </c>
      <c r="L714" s="179">
        <v>3759.71</v>
      </c>
      <c r="M714" s="181">
        <f t="shared" si="192"/>
        <v>-26.42</v>
      </c>
      <c r="N714" s="182">
        <f t="shared" si="193"/>
        <v>-1</v>
      </c>
      <c r="O714" s="183">
        <f t="shared" si="194"/>
        <v>0</v>
      </c>
      <c r="P714" s="184">
        <f t="shared" si="195"/>
        <v>0</v>
      </c>
      <c r="Q714" s="184">
        <f t="shared" si="196"/>
        <v>-1</v>
      </c>
      <c r="R71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22902.5</v>
      </c>
      <c r="T71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14" s="186">
        <f ca="1">IF(Tabla33610673[[#This Row],[Equity]]&lt;Tabla33610673[[#This Row],[Equity Peak]],(Tabla33610673[[#This Row],[Equity Peak]]-Tabla33610673[[#This Row],[Equity]])/Tabla33610673[[#This Row],[Equity Peak]],"")</f>
        <v>0.13207010895310278</v>
      </c>
      <c r="V714" s="187">
        <f t="shared" si="197"/>
        <v>0</v>
      </c>
      <c r="W714" s="187">
        <f t="shared" si="198"/>
        <v>0</v>
      </c>
      <c r="X714" s="187">
        <f t="shared" si="199"/>
        <v>0</v>
      </c>
      <c r="Y714" s="187">
        <f t="shared" si="200"/>
        <v>0</v>
      </c>
      <c r="Z714" s="187">
        <f t="shared" si="201"/>
        <v>-1</v>
      </c>
      <c r="AA714" s="183">
        <f t="shared" si="202"/>
        <v>0</v>
      </c>
      <c r="AB714" s="187">
        <f t="shared" si="203"/>
        <v>0</v>
      </c>
      <c r="AC714" s="183">
        <f t="shared" si="204"/>
        <v>0</v>
      </c>
      <c r="AD714" s="188">
        <f t="shared" si="205"/>
        <v>0.24375000000145519</v>
      </c>
      <c r="AE714" s="188">
        <f t="shared" si="206"/>
        <v>0</v>
      </c>
      <c r="AF714" s="188">
        <f t="shared" si="207"/>
        <v>0.24375000000145519</v>
      </c>
      <c r="AG714" s="188">
        <f t="shared" si="208"/>
        <v>0</v>
      </c>
    </row>
    <row r="715" spans="2:33" ht="15" customHeight="1" x14ac:dyDescent="0.15">
      <c r="B715" s="174" t="s">
        <v>19</v>
      </c>
      <c r="C715" s="175" t="s">
        <v>15</v>
      </c>
      <c r="D715" s="176" t="str">
        <f t="shared" si="190"/>
        <v>C</v>
      </c>
      <c r="E715" s="177" t="d">
        <v>2021-01-29T09:00:00.000</v>
      </c>
      <c r="F715" s="178" t="s">
        <v>77</v>
      </c>
      <c r="G715" s="179">
        <v>1850.33</v>
      </c>
      <c r="H715" s="179">
        <v>1844.03</v>
      </c>
      <c r="I715" s="180">
        <f t="shared" si="191"/>
        <v>6.2999999999999545</v>
      </c>
      <c r="J715" s="179">
        <v>1880.59</v>
      </c>
      <c r="K715" s="177" t="d">
        <v>2021-01-29T09:08:59.99999987427145575</v>
      </c>
      <c r="L715" s="179">
        <v>1844.03</v>
      </c>
      <c r="M715" s="181">
        <f t="shared" si="192"/>
        <v>-6.3</v>
      </c>
      <c r="N715" s="182">
        <f t="shared" si="193"/>
        <v>-1</v>
      </c>
      <c r="O715" s="183">
        <f t="shared" si="194"/>
        <v>0</v>
      </c>
      <c r="P715" s="184">
        <f t="shared" si="195"/>
        <v>0</v>
      </c>
      <c r="Q715" s="184">
        <f t="shared" si="196"/>
        <v>-1</v>
      </c>
      <c r="R71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23152.5</v>
      </c>
      <c r="T71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15" s="186">
        <f ca="1">IF(Tabla33610673[[#This Row],[Equity]]&lt;Tabla33610673[[#This Row],[Equity Peak]],(Tabla33610673[[#This Row],[Equity Peak]]-Tabla33610673[[#This Row],[Equity]])/Tabla33610673[[#This Row],[Equity Peak]],"")</f>
        <v>0.12259592610137375</v>
      </c>
      <c r="V715" s="187">
        <f t="shared" si="197"/>
        <v>0</v>
      </c>
      <c r="W715" s="187">
        <f t="shared" si="198"/>
        <v>0</v>
      </c>
      <c r="X715" s="187">
        <f t="shared" si="199"/>
        <v>-1</v>
      </c>
      <c r="Y715" s="187">
        <f t="shared" si="200"/>
        <v>0</v>
      </c>
      <c r="Z715" s="187">
        <f t="shared" si="201"/>
        <v>0</v>
      </c>
      <c r="AA715" s="183">
        <f t="shared" si="202"/>
        <v>0</v>
      </c>
      <c r="AB715" s="187">
        <f t="shared" si="203"/>
        <v>0</v>
      </c>
      <c r="AC715" s="183">
        <f t="shared" si="204"/>
        <v>0</v>
      </c>
      <c r="AD715" s="188">
        <f t="shared" si="205"/>
        <v>6.2499999985448085E-3</v>
      </c>
      <c r="AE715" s="188">
        <f t="shared" si="206"/>
        <v>0</v>
      </c>
      <c r="AF715" s="188">
        <f t="shared" si="207"/>
        <v>6.2499999985448085E-3</v>
      </c>
      <c r="AG715" s="188">
        <f t="shared" si="208"/>
        <v>0</v>
      </c>
    </row>
    <row r="716" spans="2:33" ht="15" customHeight="1" x14ac:dyDescent="0.15">
      <c r="B716" s="174" t="s">
        <v>5</v>
      </c>
      <c r="C716" s="175" t="s">
        <v>15</v>
      </c>
      <c r="D716" s="176" t="str">
        <f t="shared" si="190"/>
        <v>C</v>
      </c>
      <c r="E716" s="177" t="d">
        <v>2021-01-28T18:14:59.99999979045242400</v>
      </c>
      <c r="F716" s="178" t="s">
        <v>82</v>
      </c>
      <c r="G716" s="179">
        <v>3820.15</v>
      </c>
      <c r="H716" s="179">
        <v>3795.19</v>
      </c>
      <c r="I716" s="180">
        <f t="shared" si="191"/>
        <v>24.960000000000036</v>
      </c>
      <c r="J716" s="179">
        <v>3982.38</v>
      </c>
      <c r="K716" s="177" t="d">
        <v>2021-01-28T22:28:00.00000023748725325</v>
      </c>
      <c r="L716" s="179">
        <v>3804.32</v>
      </c>
      <c r="M716" s="181">
        <f t="shared" si="192"/>
        <v>-15.83</v>
      </c>
      <c r="N716" s="182">
        <f t="shared" si="193"/>
        <v>-0.63</v>
      </c>
      <c r="O716" s="183">
        <f t="shared" si="194"/>
        <v>0</v>
      </c>
      <c r="P716" s="184">
        <f t="shared" si="195"/>
        <v>0</v>
      </c>
      <c r="Q716" s="184">
        <f t="shared" si="196"/>
        <v>-0.63</v>
      </c>
      <c r="R71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23402.5</v>
      </c>
      <c r="T71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16" s="186">
        <f ca="1">IF(Tabla33610673[[#This Row],[Equity]]&lt;Tabla33610673[[#This Row],[Equity Peak]],(Tabla33610673[[#This Row],[Equity Peak]]-Tabla33610673[[#This Row],[Equity]])/Tabla33610673[[#This Row],[Equity Peak]],"")</f>
        <v>0.11312174324964472</v>
      </c>
      <c r="V716" s="187">
        <f t="shared" si="197"/>
        <v>0</v>
      </c>
      <c r="W716" s="187">
        <f t="shared" si="198"/>
        <v>0</v>
      </c>
      <c r="X716" s="187">
        <f t="shared" si="199"/>
        <v>0</v>
      </c>
      <c r="Y716" s="187">
        <f t="shared" si="200"/>
        <v>0</v>
      </c>
      <c r="Z716" s="187">
        <f t="shared" si="201"/>
        <v>-0.63</v>
      </c>
      <c r="AA716" s="183">
        <f t="shared" si="202"/>
        <v>0</v>
      </c>
      <c r="AB716" s="187">
        <f t="shared" si="203"/>
        <v>0</v>
      </c>
      <c r="AC716" s="183">
        <f t="shared" si="204"/>
        <v>0</v>
      </c>
      <c r="AD716" s="188">
        <f t="shared" si="205"/>
        <v>0.17569444444961846</v>
      </c>
      <c r="AE716" s="188">
        <f t="shared" si="206"/>
        <v>0</v>
      </c>
      <c r="AF716" s="188">
        <f t="shared" si="207"/>
        <v>0.17569444444961846</v>
      </c>
      <c r="AG716" s="188">
        <f t="shared" si="208"/>
        <v>0</v>
      </c>
    </row>
    <row r="717" spans="2:33" ht="15" customHeight="1" x14ac:dyDescent="0.15">
      <c r="B717" s="174" t="s">
        <v>19</v>
      </c>
      <c r="C717" s="175" t="s">
        <v>15</v>
      </c>
      <c r="D717" s="176" t="str">
        <f t="shared" si="190"/>
        <v>C</v>
      </c>
      <c r="E717" s="177" t="d">
        <v>2021-01-28T15:45:00.000</v>
      </c>
      <c r="F717" s="178" t="s">
        <v>77</v>
      </c>
      <c r="G717" s="179">
        <v>1847.09</v>
      </c>
      <c r="H717" s="179">
        <v>1840.92</v>
      </c>
      <c r="I717" s="180">
        <f t="shared" si="191"/>
        <v>6.1699999999998454</v>
      </c>
      <c r="J717" s="179">
        <v>1876.73</v>
      </c>
      <c r="K717" s="177" t="d">
        <v>2021-01-28T16:54:00.00000029336660775</v>
      </c>
      <c r="L717" s="179">
        <v>1855.96</v>
      </c>
      <c r="M717" s="181">
        <f t="shared" si="192"/>
        <v>8.8699999999999992</v>
      </c>
      <c r="N717" s="182">
        <f t="shared" si="193"/>
        <v>1.44</v>
      </c>
      <c r="O717" s="183">
        <f t="shared" si="194"/>
        <v>0</v>
      </c>
      <c r="P717" s="184">
        <f t="shared" si="195"/>
        <v>1.44</v>
      </c>
      <c r="Q717" s="184">
        <f t="shared" si="196"/>
        <v>0</v>
      </c>
      <c r="R71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23560</v>
      </c>
      <c r="T71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17" s="186">
        <f ca="1">IF(Tabla33610673[[#This Row],[Equity]]&lt;Tabla33610673[[#This Row],[Equity Peak]],(Tabla33610673[[#This Row],[Equity Peak]]-Tabla33610673[[#This Row],[Equity]])/Tabla33610673[[#This Row],[Equity Peak]],"")</f>
        <v>0.10715300805305543</v>
      </c>
      <c r="V717" s="187">
        <f t="shared" si="197"/>
        <v>0</v>
      </c>
      <c r="W717" s="187">
        <f t="shared" si="198"/>
        <v>0</v>
      </c>
      <c r="X717" s="187">
        <f t="shared" si="199"/>
        <v>1.44</v>
      </c>
      <c r="Y717" s="187">
        <f t="shared" si="200"/>
        <v>0</v>
      </c>
      <c r="Z717" s="187">
        <f t="shared" si="201"/>
        <v>0</v>
      </c>
      <c r="AA717" s="183">
        <f t="shared" si="202"/>
        <v>0</v>
      </c>
      <c r="AB717" s="187">
        <f t="shared" si="203"/>
        <v>0</v>
      </c>
      <c r="AC717" s="183">
        <f t="shared" si="204"/>
        <v>0</v>
      </c>
      <c r="AD717" s="188">
        <f t="shared" si="205"/>
        <v>4.7916666670062114E-2</v>
      </c>
      <c r="AE717" s="188">
        <f t="shared" si="206"/>
        <v>4.7916666670062114E-2</v>
      </c>
      <c r="AF717" s="188">
        <f t="shared" si="207"/>
        <v>0</v>
      </c>
      <c r="AG717" s="188">
        <f t="shared" si="208"/>
        <v>0</v>
      </c>
    </row>
    <row r="718" spans="2:33" ht="15" customHeight="1" x14ac:dyDescent="0.15">
      <c r="B718" s="174" t="s">
        <v>7</v>
      </c>
      <c r="C718" s="175" t="s">
        <v>15</v>
      </c>
      <c r="D718" s="176" t="str">
        <f t="shared" si="190"/>
        <v>C</v>
      </c>
      <c r="E718" s="177" t="d">
        <v>2021-01-28T15:14:59.99999979045242400</v>
      </c>
      <c r="F718" s="178" t="s">
        <v>103</v>
      </c>
      <c r="G718" s="179">
        <v>104.383</v>
      </c>
      <c r="H718" s="179">
        <v>104.253</v>
      </c>
      <c r="I718" s="180">
        <f t="shared" si="191"/>
        <v>0.12999999999999545</v>
      </c>
      <c r="J718" s="179">
        <v>105.2</v>
      </c>
      <c r="K718" s="177" t="d">
        <v>2021-01-28T15:53:59.99999987427145575</v>
      </c>
      <c r="L718" s="179">
        <v>104.28400000000001</v>
      </c>
      <c r="M718" s="181">
        <f t="shared" si="192"/>
        <v>-9.9000000000000005E-2</v>
      </c>
      <c r="N718" s="182">
        <f t="shared" si="193"/>
        <v>-0.76</v>
      </c>
      <c r="O718" s="183">
        <f t="shared" si="194"/>
        <v>0</v>
      </c>
      <c r="P718" s="184">
        <f t="shared" si="195"/>
        <v>0</v>
      </c>
      <c r="Q718" s="184">
        <f t="shared" si="196"/>
        <v>-0.76</v>
      </c>
      <c r="R71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23200</v>
      </c>
      <c r="T71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18" s="186">
        <f ca="1">IF(Tabla33610673[[#This Row],[Equity]]&lt;Tabla33610673[[#This Row],[Equity Peak]],(Tabla33610673[[#This Row],[Equity Peak]]-Tabla33610673[[#This Row],[Equity]])/Tabla33610673[[#This Row],[Equity Peak]],"")</f>
        <v>0.12079583135954523</v>
      </c>
      <c r="V718" s="187">
        <f t="shared" si="197"/>
        <v>-0.76</v>
      </c>
      <c r="W718" s="187">
        <f t="shared" si="198"/>
        <v>0</v>
      </c>
      <c r="X718" s="187">
        <f t="shared" si="199"/>
        <v>0</v>
      </c>
      <c r="Y718" s="187">
        <f t="shared" si="200"/>
        <v>0</v>
      </c>
      <c r="Z718" s="187">
        <f t="shared" si="201"/>
        <v>0</v>
      </c>
      <c r="AA718" s="183">
        <f t="shared" si="202"/>
        <v>0</v>
      </c>
      <c r="AB718" s="187">
        <f t="shared" si="203"/>
        <v>0</v>
      </c>
      <c r="AC718" s="183">
        <f t="shared" si="204"/>
        <v>0</v>
      </c>
      <c r="AD718" s="188">
        <f t="shared" si="205"/>
        <v>2.7083333334303461E-2</v>
      </c>
      <c r="AE718" s="188">
        <f t="shared" si="206"/>
        <v>0</v>
      </c>
      <c r="AF718" s="188">
        <f t="shared" si="207"/>
        <v>2.7083333334303461E-2</v>
      </c>
      <c r="AG718" s="188">
        <f t="shared" si="208"/>
        <v>0</v>
      </c>
    </row>
    <row r="719" spans="2:33" ht="15" customHeight="1" x14ac:dyDescent="0.15">
      <c r="B719" s="174" t="s">
        <v>5</v>
      </c>
      <c r="C719" s="175" t="s">
        <v>13</v>
      </c>
      <c r="D719" s="176" t="str">
        <f t="shared" si="190"/>
        <v>C</v>
      </c>
      <c r="E719" s="177" t="d">
        <v>2021-01-28T10:44:59.99999979045242400</v>
      </c>
      <c r="F719" s="178" t="s">
        <v>80</v>
      </c>
      <c r="G719" s="179">
        <v>13380.36</v>
      </c>
      <c r="H719" s="179">
        <v>13474.22</v>
      </c>
      <c r="I719" s="180">
        <f t="shared" si="191"/>
        <v>93.859999999998763</v>
      </c>
      <c r="J719" s="179">
        <v>12692.03</v>
      </c>
      <c r="K719" s="177" t="d">
        <v>2021-01-28T12:21:59.99999990221113300</v>
      </c>
      <c r="L719" s="179">
        <v>13474.22</v>
      </c>
      <c r="M719" s="181">
        <f t="shared" si="192"/>
        <v>-93.86</v>
      </c>
      <c r="N719" s="182">
        <f t="shared" si="193"/>
        <v>-1</v>
      </c>
      <c r="O719" s="183">
        <f t="shared" si="194"/>
        <v>0</v>
      </c>
      <c r="P719" s="184">
        <f t="shared" si="195"/>
        <v>0</v>
      </c>
      <c r="Q719" s="184">
        <f t="shared" si="196"/>
        <v>-1</v>
      </c>
      <c r="R71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23390</v>
      </c>
      <c r="T71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19" s="186">
        <f ca="1">IF(Tabla33610673[[#This Row],[Equity]]&lt;Tabla33610673[[#This Row],[Equity Peak]],(Tabla33610673[[#This Row],[Equity Peak]]-Tabla33610673[[#This Row],[Equity]])/Tabla33610673[[#This Row],[Equity Peak]],"")</f>
        <v>0.11359545239223116</v>
      </c>
      <c r="V719" s="187">
        <f t="shared" si="197"/>
        <v>0</v>
      </c>
      <c r="W719" s="187">
        <f t="shared" si="198"/>
        <v>0</v>
      </c>
      <c r="X719" s="187">
        <f t="shared" si="199"/>
        <v>0</v>
      </c>
      <c r="Y719" s="187">
        <f t="shared" si="200"/>
        <v>0</v>
      </c>
      <c r="Z719" s="187">
        <f t="shared" si="201"/>
        <v>-1</v>
      </c>
      <c r="AA719" s="183">
        <f t="shared" si="202"/>
        <v>0</v>
      </c>
      <c r="AB719" s="187">
        <f t="shared" si="203"/>
        <v>0</v>
      </c>
      <c r="AC719" s="183">
        <f t="shared" si="204"/>
        <v>0</v>
      </c>
      <c r="AD719" s="188">
        <f t="shared" si="205"/>
        <v>6.7361111112404615E-2</v>
      </c>
      <c r="AE719" s="188">
        <f t="shared" si="206"/>
        <v>0</v>
      </c>
      <c r="AF719" s="188">
        <f t="shared" si="207"/>
        <v>6.7361111112404615E-2</v>
      </c>
      <c r="AG719" s="188">
        <f t="shared" si="208"/>
        <v>0</v>
      </c>
    </row>
    <row r="720" spans="2:33" ht="15" customHeight="1" x14ac:dyDescent="0.15">
      <c r="B720" s="174" t="s">
        <v>5</v>
      </c>
      <c r="C720" s="175" t="s">
        <v>13</v>
      </c>
      <c r="D720" s="176" t="str">
        <f t="shared" si="190"/>
        <v>C</v>
      </c>
      <c r="E720" s="177" t="d">
        <v>2021-01-27T23:15:00.000</v>
      </c>
      <c r="F720" s="178" t="s">
        <v>80</v>
      </c>
      <c r="G720" s="179">
        <v>13417.61</v>
      </c>
      <c r="H720" s="179">
        <v>13502.23</v>
      </c>
      <c r="I720" s="180">
        <f t="shared" si="191"/>
        <v>84.619999999998981</v>
      </c>
      <c r="J720" s="179">
        <v>12797.06</v>
      </c>
      <c r="K720" s="177" t="d">
        <v>2021-01-27T23:39:00.00000029336660775</v>
      </c>
      <c r="L720" s="179">
        <v>13502.23</v>
      </c>
      <c r="M720" s="181">
        <f t="shared" si="192"/>
        <v>-84.62</v>
      </c>
      <c r="N720" s="182">
        <f t="shared" si="193"/>
        <v>-1</v>
      </c>
      <c r="O720" s="183">
        <f t="shared" si="194"/>
        <v>0</v>
      </c>
      <c r="P720" s="184">
        <f t="shared" si="195"/>
        <v>0</v>
      </c>
      <c r="Q720" s="184">
        <f t="shared" si="196"/>
        <v>-1</v>
      </c>
      <c r="R72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23640</v>
      </c>
      <c r="T72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20" s="186">
        <f ca="1">IF(Tabla33610673[[#This Row],[Equity]]&lt;Tabla33610673[[#This Row],[Equity Peak]],(Tabla33610673[[#This Row],[Equity Peak]]-Tabla33610673[[#This Row],[Equity]])/Tabla33610673[[#This Row],[Equity Peak]],"")</f>
        <v>0.10412126954050213</v>
      </c>
      <c r="V720" s="187">
        <f t="shared" si="197"/>
        <v>0</v>
      </c>
      <c r="W720" s="187">
        <f t="shared" si="198"/>
        <v>0</v>
      </c>
      <c r="X720" s="187">
        <f t="shared" si="199"/>
        <v>0</v>
      </c>
      <c r="Y720" s="187">
        <f t="shared" si="200"/>
        <v>0</v>
      </c>
      <c r="Z720" s="187">
        <f t="shared" si="201"/>
        <v>-1</v>
      </c>
      <c r="AA720" s="183">
        <f t="shared" si="202"/>
        <v>0</v>
      </c>
      <c r="AB720" s="187">
        <f t="shared" si="203"/>
        <v>0</v>
      </c>
      <c r="AC720" s="183">
        <f t="shared" si="204"/>
        <v>0</v>
      </c>
      <c r="AD720" s="188">
        <f t="shared" si="205"/>
        <v>1.6666666670062114E-2</v>
      </c>
      <c r="AE720" s="188">
        <f t="shared" si="206"/>
        <v>0</v>
      </c>
      <c r="AF720" s="188">
        <f t="shared" si="207"/>
        <v>1.6666666670062114E-2</v>
      </c>
      <c r="AG720" s="188">
        <f t="shared" si="208"/>
        <v>0</v>
      </c>
    </row>
    <row r="721" spans="2:33" ht="15" customHeight="1" x14ac:dyDescent="0.15">
      <c r="B721" s="174" t="s">
        <v>5</v>
      </c>
      <c r="C721" s="175" t="s">
        <v>13</v>
      </c>
      <c r="D721" s="176" t="str">
        <f t="shared" ref="D721:D777" si="209">IF(E721&lt;&gt;"",IF(K721&lt;&gt;"","C","O"),"")</f>
        <v>C</v>
      </c>
      <c r="E721" s="177" t="d">
        <v>2021-01-27T23:15:00.000</v>
      </c>
      <c r="F721" s="178" t="s">
        <v>81</v>
      </c>
      <c r="G721" s="179">
        <v>12980.05</v>
      </c>
      <c r="H721" s="179">
        <v>13057.12</v>
      </c>
      <c r="I721" s="180">
        <f t="shared" ref="I721:I777" si="210">ABS(G721-H721)</f>
        <v>77.070000000001528</v>
      </c>
      <c r="J721" s="179">
        <v>12517.64</v>
      </c>
      <c r="K721" s="177" t="d">
        <v>2021-01-27T23:36:59.99999990221113300</v>
      </c>
      <c r="L721" s="179">
        <v>13057.12</v>
      </c>
      <c r="M721" s="181">
        <f t="shared" ref="M721:M777" si="211">ROUND(IF(C721="L",(L721-G721),(G721-L721)),4)</f>
        <v>-77.069999999999993</v>
      </c>
      <c r="N721" s="182">
        <f t="shared" ref="N721:N777" si="212">IFERROR(ROUND((M721/I721),2),"")</f>
        <v>-1</v>
      </c>
      <c r="O721" s="183">
        <f t="shared" ref="O721:O777" si="213">IF(D721="O",IF(N721&lt;0,N721,0),0)</f>
        <v>0</v>
      </c>
      <c r="P721" s="184">
        <f t="shared" ref="P721:P777" si="214">IF(N721&gt;= 0,N721,0)</f>
        <v>0</v>
      </c>
      <c r="Q721" s="184">
        <f t="shared" ref="Q721:Q777" si="215">IF(N721&lt;0,N721,0)</f>
        <v>-1</v>
      </c>
      <c r="R72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23890</v>
      </c>
      <c r="T72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21" s="186">
        <f ca="1">IF(Tabla33610673[[#This Row],[Equity]]&lt;Tabla33610673[[#This Row],[Equity Peak]],(Tabla33610673[[#This Row],[Equity Peak]]-Tabla33610673[[#This Row],[Equity]])/Tabla33610673[[#This Row],[Equity Peak]],"")</f>
        <v>9.4647086688773099E-2</v>
      </c>
      <c r="V721" s="187">
        <f t="shared" ref="V721:V777" si="216">IF(B721="FX",N721,0)</f>
        <v>0</v>
      </c>
      <c r="W721" s="187">
        <f t="shared" ref="W721:W777" si="217">IF(D721="O",IF(V721&lt;0,V721,0),0)</f>
        <v>0</v>
      </c>
      <c r="X721" s="187">
        <f t="shared" ref="X721:X777" si="218">IF(B721="COM",N721,0)</f>
        <v>0</v>
      </c>
      <c r="Y721" s="187">
        <f t="shared" ref="Y721:Y777" si="219">IF(D721="O",IF(X721&lt;0,X721,0),0)</f>
        <v>0</v>
      </c>
      <c r="Z721" s="187">
        <f t="shared" ref="Z721:Z777" si="220">IF(B721="IND",N721,0)</f>
        <v>-1</v>
      </c>
      <c r="AA721" s="183">
        <f t="shared" ref="AA721:AA777" si="221">IF(D721="O",IF(Z721&lt;0,Z721,0),0)</f>
        <v>0</v>
      </c>
      <c r="AB721" s="187">
        <f t="shared" ref="AB721:AB777" si="222">IF(B721="CRYPTO",N721,0)</f>
        <v>0</v>
      </c>
      <c r="AC721" s="183">
        <f t="shared" ref="AC721:AC777" si="223">IF(D721="O",IF(AB721&lt;0,AB721,0),0)</f>
        <v>0</v>
      </c>
      <c r="AD721" s="188">
        <f t="shared" ref="AD721:AD777" si="224">IF(K721&lt;&gt;"",K721-E721,0)</f>
        <v>1.5277777776645962E-2</v>
      </c>
      <c r="AE721" s="188">
        <f t="shared" ref="AE721:AE777" si="225">IF(N721&gt;0,AD721,0)</f>
        <v>0</v>
      </c>
      <c r="AF721" s="188">
        <f t="shared" ref="AF721:AF777" si="226">IF(N721&lt;0,AD721,0)</f>
        <v>1.5277777776645962E-2</v>
      </c>
      <c r="AG721" s="188">
        <f t="shared" ref="AG721:AG777" si="227">IF(N721=0,AD721,0)</f>
        <v>0</v>
      </c>
    </row>
    <row r="722" spans="2:33" ht="15" customHeight="1" x14ac:dyDescent="0.15">
      <c r="B722" s="174" t="s">
        <v>7</v>
      </c>
      <c r="C722" s="175" t="s">
        <v>15</v>
      </c>
      <c r="D722" s="176" t="str">
        <f t="shared" si="209"/>
        <v>C</v>
      </c>
      <c r="E722" s="177" t="d">
        <v>2021-01-27T20:29:59.99999979045242400</v>
      </c>
      <c r="F722" s="178" t="s">
        <v>102</v>
      </c>
      <c r="G722" s="179">
        <v>142.74799999999999</v>
      </c>
      <c r="H722" s="179">
        <v>142.49100000000001</v>
      </c>
      <c r="I722" s="180">
        <f t="shared" si="210"/>
        <v>0.25699999999997658</v>
      </c>
      <c r="J722" s="179">
        <v>144.119</v>
      </c>
      <c r="K722" s="177" t="d">
        <v>2021-01-27T22:24:00.00000008381903175</v>
      </c>
      <c r="L722" s="179">
        <v>142.49100000000001</v>
      </c>
      <c r="M722" s="181">
        <f t="shared" si="211"/>
        <v>-0.25700000000000001</v>
      </c>
      <c r="N722" s="182">
        <f t="shared" si="212"/>
        <v>-1</v>
      </c>
      <c r="O722" s="183">
        <f t="shared" si="213"/>
        <v>0</v>
      </c>
      <c r="P722" s="184">
        <f t="shared" si="214"/>
        <v>0</v>
      </c>
      <c r="Q722" s="184">
        <f t="shared" si="215"/>
        <v>-1</v>
      </c>
      <c r="R72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24140</v>
      </c>
      <c r="T72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22" s="186">
        <f ca="1">IF(Tabla33610673[[#This Row],[Equity]]&lt;Tabla33610673[[#This Row],[Equity Peak]],(Tabla33610673[[#This Row],[Equity Peak]]-Tabla33610673[[#This Row],[Equity]])/Tabla33610673[[#This Row],[Equity Peak]],"")</f>
        <v>8.5172903837044053E-2</v>
      </c>
      <c r="V722" s="187">
        <f t="shared" si="216"/>
        <v>-1</v>
      </c>
      <c r="W722" s="187">
        <f t="shared" si="217"/>
        <v>0</v>
      </c>
      <c r="X722" s="187">
        <f t="shared" si="218"/>
        <v>0</v>
      </c>
      <c r="Y722" s="187">
        <f t="shared" si="219"/>
        <v>0</v>
      </c>
      <c r="Z722" s="187">
        <f t="shared" si="220"/>
        <v>0</v>
      </c>
      <c r="AA722" s="183">
        <f t="shared" si="221"/>
        <v>0</v>
      </c>
      <c r="AB722" s="187">
        <f t="shared" si="222"/>
        <v>0</v>
      </c>
      <c r="AC722" s="183">
        <f t="shared" si="223"/>
        <v>0</v>
      </c>
      <c r="AD722" s="188">
        <f t="shared" si="224"/>
        <v>7.9166666670062114E-2</v>
      </c>
      <c r="AE722" s="188">
        <f t="shared" si="225"/>
        <v>0</v>
      </c>
      <c r="AF722" s="188">
        <f t="shared" si="226"/>
        <v>7.9166666670062114E-2</v>
      </c>
      <c r="AG722" s="188">
        <f t="shared" si="227"/>
        <v>0</v>
      </c>
    </row>
    <row r="723" spans="2:33" ht="15" customHeight="1" x14ac:dyDescent="0.15">
      <c r="B723" s="174" t="s">
        <v>5</v>
      </c>
      <c r="C723" s="175" t="s">
        <v>13</v>
      </c>
      <c r="D723" s="176" t="str">
        <f t="shared" si="209"/>
        <v>C</v>
      </c>
      <c r="E723" s="177" t="d">
        <v>2021-01-27T16:15:00.00000020954757600</v>
      </c>
      <c r="F723" s="178" t="s">
        <v>80</v>
      </c>
      <c r="G723" s="179">
        <v>13537.15</v>
      </c>
      <c r="H723" s="179">
        <v>13603.16</v>
      </c>
      <c r="I723" s="180">
        <f t="shared" si="210"/>
        <v>66.010000000000218</v>
      </c>
      <c r="J723" s="179">
        <v>13053.06</v>
      </c>
      <c r="K723" s="177" t="d">
        <v>2021-01-27T17:22:00.00000011175870900</v>
      </c>
      <c r="L723" s="179">
        <v>13603.16</v>
      </c>
      <c r="M723" s="181">
        <f t="shared" si="211"/>
        <v>-66.010000000000005</v>
      </c>
      <c r="N723" s="182">
        <f t="shared" si="212"/>
        <v>-1</v>
      </c>
      <c r="O723" s="183">
        <f t="shared" si="213"/>
        <v>0</v>
      </c>
      <c r="P723" s="184">
        <f t="shared" si="214"/>
        <v>0</v>
      </c>
      <c r="Q723" s="184">
        <f t="shared" si="215"/>
        <v>-1</v>
      </c>
      <c r="R72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24390</v>
      </c>
      <c r="T72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23" s="186">
        <f ca="1">IF(Tabla33610673[[#This Row],[Equity]]&lt;Tabla33610673[[#This Row],[Equity Peak]],(Tabla33610673[[#This Row],[Equity Peak]]-Tabla33610673[[#This Row],[Equity]])/Tabla33610673[[#This Row],[Equity Peak]],"")</f>
        <v>7.5698720985315021E-2</v>
      </c>
      <c r="V723" s="187">
        <f t="shared" si="216"/>
        <v>0</v>
      </c>
      <c r="W723" s="187">
        <f t="shared" si="217"/>
        <v>0</v>
      </c>
      <c r="X723" s="187">
        <f t="shared" si="218"/>
        <v>0</v>
      </c>
      <c r="Y723" s="187">
        <f t="shared" si="219"/>
        <v>0</v>
      </c>
      <c r="Z723" s="187">
        <f t="shared" si="220"/>
        <v>-1</v>
      </c>
      <c r="AA723" s="183">
        <f t="shared" si="221"/>
        <v>0</v>
      </c>
      <c r="AB723" s="187">
        <f t="shared" si="222"/>
        <v>0</v>
      </c>
      <c r="AC723" s="183">
        <f t="shared" si="223"/>
        <v>0</v>
      </c>
      <c r="AD723" s="188">
        <f t="shared" si="224"/>
        <v>4.6527777776645962E-2</v>
      </c>
      <c r="AE723" s="188">
        <f t="shared" si="225"/>
        <v>0</v>
      </c>
      <c r="AF723" s="188">
        <f t="shared" si="226"/>
        <v>4.6527777776645962E-2</v>
      </c>
      <c r="AG723" s="188">
        <f t="shared" si="227"/>
        <v>0</v>
      </c>
    </row>
    <row r="724" spans="2:33" ht="15" customHeight="1" x14ac:dyDescent="0.15">
      <c r="B724" s="174" t="s">
        <v>5</v>
      </c>
      <c r="C724" s="175" t="s">
        <v>13</v>
      </c>
      <c r="D724" s="176" t="str">
        <f t="shared" si="209"/>
        <v>C</v>
      </c>
      <c r="E724" s="177" t="d">
        <v>2021-01-27T13:15:00.00000020954757600</v>
      </c>
      <c r="F724" s="178" t="s">
        <v>82</v>
      </c>
      <c r="G724" s="179">
        <v>3833.45</v>
      </c>
      <c r="H724" s="179">
        <v>3849.5</v>
      </c>
      <c r="I724" s="180">
        <f t="shared" si="210"/>
        <v>16.050000000000182</v>
      </c>
      <c r="J724" s="179">
        <v>3729.1</v>
      </c>
      <c r="K724" s="177" t="d">
        <v>2021-01-27T17:06:00.00000012572854425</v>
      </c>
      <c r="L724" s="179">
        <v>3792.8</v>
      </c>
      <c r="M724" s="181">
        <f t="shared" si="211"/>
        <v>40.65</v>
      </c>
      <c r="N724" s="182">
        <f t="shared" si="212"/>
        <v>2.5299999999999998</v>
      </c>
      <c r="O724" s="183">
        <f t="shared" si="213"/>
        <v>0</v>
      </c>
      <c r="P724" s="184">
        <f t="shared" si="214"/>
        <v>2.5299999999999998</v>
      </c>
      <c r="Q724" s="184">
        <f t="shared" si="215"/>
        <v>0</v>
      </c>
      <c r="R72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24640</v>
      </c>
      <c r="T72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24" s="186">
        <f ca="1">IF(Tabla33610673[[#This Row],[Equity]]&lt;Tabla33610673[[#This Row],[Equity Peak]],(Tabla33610673[[#This Row],[Equity Peak]]-Tabla33610673[[#This Row],[Equity]])/Tabla33610673[[#This Row],[Equity Peak]],"")</f>
        <v>6.6224538133585975E-2</v>
      </c>
      <c r="V724" s="187">
        <f t="shared" si="216"/>
        <v>0</v>
      </c>
      <c r="W724" s="187">
        <f t="shared" si="217"/>
        <v>0</v>
      </c>
      <c r="X724" s="187">
        <f t="shared" si="218"/>
        <v>0</v>
      </c>
      <c r="Y724" s="187">
        <f t="shared" si="219"/>
        <v>0</v>
      </c>
      <c r="Z724" s="187">
        <f t="shared" si="220"/>
        <v>2.5299999999999998</v>
      </c>
      <c r="AA724" s="183">
        <f t="shared" si="221"/>
        <v>0</v>
      </c>
      <c r="AB724" s="187">
        <f t="shared" si="222"/>
        <v>0</v>
      </c>
      <c r="AC724" s="183">
        <f t="shared" si="223"/>
        <v>0</v>
      </c>
      <c r="AD724" s="188">
        <f t="shared" si="224"/>
        <v>0.16041666666569654</v>
      </c>
      <c r="AE724" s="188">
        <f t="shared" si="225"/>
        <v>0.16041666666569654</v>
      </c>
      <c r="AF724" s="188">
        <f t="shared" si="226"/>
        <v>0</v>
      </c>
      <c r="AG724" s="188">
        <f t="shared" si="227"/>
        <v>0</v>
      </c>
    </row>
    <row r="725" spans="2:33" ht="15" customHeight="1" x14ac:dyDescent="0.15">
      <c r="B725" s="174" t="s">
        <v>7</v>
      </c>
      <c r="C725" s="175" t="s">
        <v>15</v>
      </c>
      <c r="D725" s="176" t="str">
        <f t="shared" si="209"/>
        <v>C</v>
      </c>
      <c r="E725" s="177" t="d">
        <v>2021-01-26T18:00:00.000</v>
      </c>
      <c r="F725" s="178" t="s">
        <v>102</v>
      </c>
      <c r="G725" s="179">
        <v>142.44399999999999</v>
      </c>
      <c r="H725" s="179">
        <v>142.184</v>
      </c>
      <c r="I725" s="180">
        <f t="shared" si="210"/>
        <v>0.25999999999999091</v>
      </c>
      <c r="J725" s="179">
        <v>143.83000000000001</v>
      </c>
      <c r="K725" s="177" t="d">
        <v>2021-01-27T13:50:59.99999970663339225</v>
      </c>
      <c r="L725" s="179">
        <v>142.34200000000001</v>
      </c>
      <c r="M725" s="181">
        <f t="shared" si="211"/>
        <v>-0.10199999999999999</v>
      </c>
      <c r="N725" s="182">
        <f t="shared" si="212"/>
        <v>-0.39</v>
      </c>
      <c r="O725" s="183">
        <f t="shared" si="213"/>
        <v>0</v>
      </c>
      <c r="P725" s="184">
        <f t="shared" si="214"/>
        <v>0</v>
      </c>
      <c r="Q725" s="184">
        <f t="shared" si="215"/>
        <v>-0.39</v>
      </c>
      <c r="R72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24007.5</v>
      </c>
      <c r="T72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25" s="186">
        <f ca="1">IF(Tabla33610673[[#This Row],[Equity]]&lt;Tabla33610673[[#This Row],[Equity Peak]],(Tabla33610673[[#This Row],[Equity Peak]]-Tabla33610673[[#This Row],[Equity]])/Tabla33610673[[#This Row],[Equity Peak]],"")</f>
        <v>9.0194220748460452E-2</v>
      </c>
      <c r="V725" s="187">
        <f t="shared" si="216"/>
        <v>-0.39</v>
      </c>
      <c r="W725" s="187">
        <f t="shared" si="217"/>
        <v>0</v>
      </c>
      <c r="X725" s="187">
        <f t="shared" si="218"/>
        <v>0</v>
      </c>
      <c r="Y725" s="187">
        <f t="shared" si="219"/>
        <v>0</v>
      </c>
      <c r="Z725" s="187">
        <f t="shared" si="220"/>
        <v>0</v>
      </c>
      <c r="AA725" s="183">
        <f t="shared" si="221"/>
        <v>0</v>
      </c>
      <c r="AB725" s="187">
        <f t="shared" si="222"/>
        <v>0</v>
      </c>
      <c r="AC725" s="183">
        <f t="shared" si="223"/>
        <v>0</v>
      </c>
      <c r="AD725" s="188">
        <f t="shared" si="224"/>
        <v>0.82708333332993789</v>
      </c>
      <c r="AE725" s="188">
        <f t="shared" si="225"/>
        <v>0</v>
      </c>
      <c r="AF725" s="188">
        <f t="shared" si="226"/>
        <v>0.82708333332993789</v>
      </c>
      <c r="AG725" s="188">
        <f t="shared" si="227"/>
        <v>0</v>
      </c>
    </row>
    <row r="726" spans="2:33" ht="15" customHeight="1" x14ac:dyDescent="0.15">
      <c r="B726" s="174" t="s">
        <v>5</v>
      </c>
      <c r="C726" s="175" t="s">
        <v>15</v>
      </c>
      <c r="D726" s="176" t="str">
        <f t="shared" si="209"/>
        <v>C</v>
      </c>
      <c r="E726" s="177" t="d">
        <v>2021-01-26T23:15:00.000</v>
      </c>
      <c r="F726" s="178" t="s">
        <v>81</v>
      </c>
      <c r="G726" s="179">
        <v>13578.55</v>
      </c>
      <c r="H726" s="179">
        <v>13516.5</v>
      </c>
      <c r="I726" s="180">
        <f t="shared" si="210"/>
        <v>62.049999999999272</v>
      </c>
      <c r="J726" s="179">
        <v>13950.85</v>
      </c>
      <c r="K726" s="177" t="d">
        <v>2021-01-27T13:06:59.99999990221113300</v>
      </c>
      <c r="L726" s="179">
        <v>13516.5</v>
      </c>
      <c r="M726" s="181">
        <f t="shared" si="211"/>
        <v>-62.05</v>
      </c>
      <c r="N726" s="182">
        <f t="shared" si="212"/>
        <v>-1</v>
      </c>
      <c r="O726" s="183">
        <f t="shared" si="213"/>
        <v>0</v>
      </c>
      <c r="P726" s="184">
        <f t="shared" si="214"/>
        <v>0</v>
      </c>
      <c r="Q726" s="184">
        <f t="shared" si="215"/>
        <v>-1</v>
      </c>
      <c r="R72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24105</v>
      </c>
      <c r="T72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26" s="186">
        <f ca="1">IF(Tabla33610673[[#This Row],[Equity]]&lt;Tabla33610673[[#This Row],[Equity Peak]],(Tabla33610673[[#This Row],[Equity Peak]]-Tabla33610673[[#This Row],[Equity]])/Tabla33610673[[#This Row],[Equity Peak]],"")</f>
        <v>8.6499289436286125E-2</v>
      </c>
      <c r="V726" s="187">
        <f t="shared" si="216"/>
        <v>0</v>
      </c>
      <c r="W726" s="187">
        <f t="shared" si="217"/>
        <v>0</v>
      </c>
      <c r="X726" s="187">
        <f t="shared" si="218"/>
        <v>0</v>
      </c>
      <c r="Y726" s="187">
        <f t="shared" si="219"/>
        <v>0</v>
      </c>
      <c r="Z726" s="187">
        <f t="shared" si="220"/>
        <v>-1</v>
      </c>
      <c r="AA726" s="183">
        <f t="shared" si="221"/>
        <v>0</v>
      </c>
      <c r="AB726" s="187">
        <f t="shared" si="222"/>
        <v>0</v>
      </c>
      <c r="AC726" s="183">
        <f t="shared" si="223"/>
        <v>0</v>
      </c>
      <c r="AD726" s="188">
        <f t="shared" si="224"/>
        <v>0.57777777777664596</v>
      </c>
      <c r="AE726" s="188">
        <f t="shared" si="225"/>
        <v>0</v>
      </c>
      <c r="AF726" s="188">
        <f t="shared" si="226"/>
        <v>0.57777777777664596</v>
      </c>
      <c r="AG726" s="188">
        <f t="shared" si="227"/>
        <v>0</v>
      </c>
    </row>
    <row r="727" spans="2:33" ht="15" customHeight="1" x14ac:dyDescent="0.15">
      <c r="B727" s="174" t="s">
        <v>5</v>
      </c>
      <c r="C727" s="175" t="s">
        <v>15</v>
      </c>
      <c r="D727" s="176" t="str">
        <f t="shared" si="209"/>
        <v>C</v>
      </c>
      <c r="E727" s="177" t="d">
        <v>2021-01-26T16:15:00.00000020954757600</v>
      </c>
      <c r="F727" s="178" t="s">
        <v>82</v>
      </c>
      <c r="G727" s="179">
        <v>3865.09</v>
      </c>
      <c r="H727" s="179">
        <v>3849.5</v>
      </c>
      <c r="I727" s="180">
        <f t="shared" si="210"/>
        <v>15.590000000000146</v>
      </c>
      <c r="J727" s="179">
        <v>3966.41</v>
      </c>
      <c r="K727" s="177" t="d">
        <v>2021-01-26T17:17:59.9999999580904875</v>
      </c>
      <c r="L727" s="179">
        <v>3850.23</v>
      </c>
      <c r="M727" s="181">
        <f t="shared" si="211"/>
        <v>-14.86</v>
      </c>
      <c r="N727" s="182">
        <f t="shared" si="212"/>
        <v>-0.95</v>
      </c>
      <c r="O727" s="183">
        <f t="shared" si="213"/>
        <v>0</v>
      </c>
      <c r="P727" s="184">
        <f t="shared" si="214"/>
        <v>0</v>
      </c>
      <c r="Q727" s="184">
        <f t="shared" si="215"/>
        <v>-0.95</v>
      </c>
      <c r="R72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24355</v>
      </c>
      <c r="T72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27" s="186">
        <f ca="1">IF(Tabla33610673[[#This Row],[Equity]]&lt;Tabla33610673[[#This Row],[Equity Peak]],(Tabla33610673[[#This Row],[Equity Peak]]-Tabla33610673[[#This Row],[Equity]])/Tabla33610673[[#This Row],[Equity Peak]],"")</f>
        <v>7.7025106584557079E-2</v>
      </c>
      <c r="V727" s="187">
        <f t="shared" si="216"/>
        <v>0</v>
      </c>
      <c r="W727" s="187">
        <f t="shared" si="217"/>
        <v>0</v>
      </c>
      <c r="X727" s="187">
        <f t="shared" si="218"/>
        <v>0</v>
      </c>
      <c r="Y727" s="187">
        <f t="shared" si="219"/>
        <v>0</v>
      </c>
      <c r="Z727" s="187">
        <f t="shared" si="220"/>
        <v>-0.95</v>
      </c>
      <c r="AA727" s="183">
        <f t="shared" si="221"/>
        <v>0</v>
      </c>
      <c r="AB727" s="187">
        <f t="shared" si="222"/>
        <v>0</v>
      </c>
      <c r="AC727" s="183">
        <f t="shared" si="223"/>
        <v>0</v>
      </c>
      <c r="AD727" s="188">
        <f t="shared" si="224"/>
        <v>4.3749999997089617E-2</v>
      </c>
      <c r="AE727" s="188">
        <f t="shared" si="225"/>
        <v>0</v>
      </c>
      <c r="AF727" s="188">
        <f t="shared" si="226"/>
        <v>4.3749999997089617E-2</v>
      </c>
      <c r="AG727" s="188">
        <f t="shared" si="227"/>
        <v>0</v>
      </c>
    </row>
    <row r="728" spans="2:33" ht="15" customHeight="1" x14ac:dyDescent="0.15">
      <c r="B728" s="174" t="s">
        <v>7</v>
      </c>
      <c r="C728" s="175" t="s">
        <v>13</v>
      </c>
      <c r="D728" s="176" t="str">
        <f t="shared" si="209"/>
        <v>C</v>
      </c>
      <c r="E728" s="177" t="d">
        <v>2021-01-26T09:45:00.000</v>
      </c>
      <c r="F728" s="178" t="s">
        <v>102</v>
      </c>
      <c r="G728" s="179">
        <v>141.31700000000001</v>
      </c>
      <c r="H728" s="179">
        <v>141.547</v>
      </c>
      <c r="I728" s="180">
        <f t="shared" si="210"/>
        <v>0.22999999999998977</v>
      </c>
      <c r="J728" s="179">
        <v>140.09299999999999</v>
      </c>
      <c r="K728" s="177" t="d">
        <v>2021-01-26T10:51:59.99999990221113300</v>
      </c>
      <c r="L728" s="179">
        <v>141.547</v>
      </c>
      <c r="M728" s="181">
        <f t="shared" si="211"/>
        <v>-0.23</v>
      </c>
      <c r="N728" s="182">
        <f t="shared" si="212"/>
        <v>-1</v>
      </c>
      <c r="O728" s="183">
        <f t="shared" si="213"/>
        <v>0</v>
      </c>
      <c r="P728" s="184">
        <f t="shared" si="214"/>
        <v>0</v>
      </c>
      <c r="Q728" s="184">
        <f t="shared" si="215"/>
        <v>-1</v>
      </c>
      <c r="R72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24592.5</v>
      </c>
      <c r="T72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28" s="186">
        <f ca="1">IF(Tabla33610673[[#This Row],[Equity]]&lt;Tabla33610673[[#This Row],[Equity Peak]],(Tabla33610673[[#This Row],[Equity Peak]]-Tabla33610673[[#This Row],[Equity]])/Tabla33610673[[#This Row],[Equity Peak]],"")</f>
        <v>6.8024632875414492E-2</v>
      </c>
      <c r="V728" s="187">
        <f t="shared" si="216"/>
        <v>-1</v>
      </c>
      <c r="W728" s="187">
        <f t="shared" si="217"/>
        <v>0</v>
      </c>
      <c r="X728" s="187">
        <f t="shared" si="218"/>
        <v>0</v>
      </c>
      <c r="Y728" s="187">
        <f t="shared" si="219"/>
        <v>0</v>
      </c>
      <c r="Z728" s="187">
        <f t="shared" si="220"/>
        <v>0</v>
      </c>
      <c r="AA728" s="183">
        <f t="shared" si="221"/>
        <v>0</v>
      </c>
      <c r="AB728" s="187">
        <f t="shared" si="222"/>
        <v>0</v>
      </c>
      <c r="AC728" s="183">
        <f t="shared" si="223"/>
        <v>0</v>
      </c>
      <c r="AD728" s="188">
        <f t="shared" si="224"/>
        <v>4.6527777776645962E-2</v>
      </c>
      <c r="AE728" s="188">
        <f t="shared" si="225"/>
        <v>0</v>
      </c>
      <c r="AF728" s="188">
        <f t="shared" si="226"/>
        <v>4.6527777776645962E-2</v>
      </c>
      <c r="AG728" s="188">
        <f t="shared" si="227"/>
        <v>0</v>
      </c>
    </row>
    <row r="729" spans="2:33" ht="15" customHeight="1" x14ac:dyDescent="0.15">
      <c r="B729" s="174" t="s">
        <v>5</v>
      </c>
      <c r="C729" s="175" t="s">
        <v>13</v>
      </c>
      <c r="D729" s="176" t="str">
        <f t="shared" si="209"/>
        <v>C</v>
      </c>
      <c r="E729" s="177" t="d">
        <v>2021-01-25T18:00:00.000</v>
      </c>
      <c r="F729" s="178" t="s">
        <v>82</v>
      </c>
      <c r="G729" s="179">
        <v>3824.17</v>
      </c>
      <c r="H729" s="179">
        <v>3838.56</v>
      </c>
      <c r="I729" s="180">
        <f t="shared" si="210"/>
        <v>14.389999999999873</v>
      </c>
      <c r="J729" s="179">
        <v>3730.65</v>
      </c>
      <c r="K729" s="177" t="d">
        <v>2021-01-25T18:50:59.99999991618096825</v>
      </c>
      <c r="L729" s="179">
        <v>3832.2</v>
      </c>
      <c r="M729" s="181">
        <f t="shared" si="211"/>
        <v>-8.0299999999999994</v>
      </c>
      <c r="N729" s="182">
        <f t="shared" si="212"/>
        <v>-0.56000000000000005</v>
      </c>
      <c r="O729" s="183">
        <f t="shared" si="213"/>
        <v>0</v>
      </c>
      <c r="P729" s="184">
        <f t="shared" si="214"/>
        <v>0</v>
      </c>
      <c r="Q729" s="184">
        <f t="shared" si="215"/>
        <v>-0.56000000000000005</v>
      </c>
      <c r="R72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24842.5</v>
      </c>
      <c r="T72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29" s="186">
        <f ca="1">IF(Tabla33610673[[#This Row],[Equity]]&lt;Tabla33610673[[#This Row],[Equity Peak]],(Tabla33610673[[#This Row],[Equity Peak]]-Tabla33610673[[#This Row],[Equity]])/Tabla33610673[[#This Row],[Equity Peak]],"")</f>
        <v>5.855045002368546E-2</v>
      </c>
      <c r="V729" s="187">
        <f t="shared" si="216"/>
        <v>0</v>
      </c>
      <c r="W729" s="187">
        <f t="shared" si="217"/>
        <v>0</v>
      </c>
      <c r="X729" s="187">
        <f t="shared" si="218"/>
        <v>0</v>
      </c>
      <c r="Y729" s="187">
        <f t="shared" si="219"/>
        <v>0</v>
      </c>
      <c r="Z729" s="187">
        <f t="shared" si="220"/>
        <v>-0.56000000000000005</v>
      </c>
      <c r="AA729" s="183">
        <f t="shared" si="221"/>
        <v>0</v>
      </c>
      <c r="AB729" s="187">
        <f t="shared" si="222"/>
        <v>0</v>
      </c>
      <c r="AC729" s="183">
        <f t="shared" si="223"/>
        <v>0</v>
      </c>
      <c r="AD729" s="188">
        <f t="shared" si="224"/>
        <v>3.5416666665696539E-2</v>
      </c>
      <c r="AE729" s="188">
        <f t="shared" si="225"/>
        <v>0</v>
      </c>
      <c r="AF729" s="188">
        <f t="shared" si="226"/>
        <v>3.5416666665696539E-2</v>
      </c>
      <c r="AG729" s="188">
        <f t="shared" si="227"/>
        <v>0</v>
      </c>
    </row>
    <row r="730" spans="2:33" ht="15" customHeight="1" x14ac:dyDescent="0.15">
      <c r="B730" s="174" t="s">
        <v>5</v>
      </c>
      <c r="C730" s="175" t="s">
        <v>15</v>
      </c>
      <c r="D730" s="176" t="str">
        <f t="shared" si="209"/>
        <v>C</v>
      </c>
      <c r="E730" s="177" t="d">
        <v>2021-01-25T02:29:59.99999979045242400</v>
      </c>
      <c r="F730" s="178" t="s">
        <v>81</v>
      </c>
      <c r="G730" s="179">
        <v>13440.15</v>
      </c>
      <c r="H730" s="179">
        <v>13392.8</v>
      </c>
      <c r="I730" s="180">
        <f t="shared" si="210"/>
        <v>47.350000000000364</v>
      </c>
      <c r="J730" s="179">
        <v>13724.27</v>
      </c>
      <c r="K730" s="177" t="d">
        <v>2021-01-25T17:39:00.00000029336660775</v>
      </c>
      <c r="L730" s="179">
        <v>13509.42</v>
      </c>
      <c r="M730" s="181">
        <f t="shared" si="211"/>
        <v>69.27</v>
      </c>
      <c r="N730" s="182">
        <f t="shared" si="212"/>
        <v>1.46</v>
      </c>
      <c r="O730" s="183">
        <f t="shared" si="213"/>
        <v>0</v>
      </c>
      <c r="P730" s="184">
        <f t="shared" si="214"/>
        <v>1.46</v>
      </c>
      <c r="Q730" s="184">
        <f t="shared" si="215"/>
        <v>0</v>
      </c>
      <c r="R73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24982.5</v>
      </c>
      <c r="T73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30" s="186">
        <f ca="1">IF(Tabla33610673[[#This Row],[Equity]]&lt;Tabla33610673[[#This Row],[Equity Peak]],(Tabla33610673[[#This Row],[Equity Peak]]-Tabla33610673[[#This Row],[Equity]])/Tabla33610673[[#This Row],[Equity Peak]],"")</f>
        <v>5.3244907626717193E-2</v>
      </c>
      <c r="V730" s="187">
        <f t="shared" si="216"/>
        <v>0</v>
      </c>
      <c r="W730" s="187">
        <f t="shared" si="217"/>
        <v>0</v>
      </c>
      <c r="X730" s="187">
        <f t="shared" si="218"/>
        <v>0</v>
      </c>
      <c r="Y730" s="187">
        <f t="shared" si="219"/>
        <v>0</v>
      </c>
      <c r="Z730" s="187">
        <f t="shared" si="220"/>
        <v>1.46</v>
      </c>
      <c r="AA730" s="183">
        <f t="shared" si="221"/>
        <v>0</v>
      </c>
      <c r="AB730" s="187">
        <f t="shared" si="222"/>
        <v>0</v>
      </c>
      <c r="AC730" s="183">
        <f t="shared" si="223"/>
        <v>0</v>
      </c>
      <c r="AD730" s="188">
        <f t="shared" si="224"/>
        <v>0.63125000000582077</v>
      </c>
      <c r="AE730" s="188">
        <f t="shared" si="225"/>
        <v>0.63125000000582077</v>
      </c>
      <c r="AF730" s="188">
        <f t="shared" si="226"/>
        <v>0</v>
      </c>
      <c r="AG730" s="188">
        <f t="shared" si="227"/>
        <v>0</v>
      </c>
    </row>
    <row r="731" spans="2:33" ht="15" customHeight="1" x14ac:dyDescent="0.15">
      <c r="B731" s="174" t="s">
        <v>5</v>
      </c>
      <c r="C731" s="175" t="s">
        <v>13</v>
      </c>
      <c r="D731" s="176" t="str">
        <f t="shared" si="209"/>
        <v>C</v>
      </c>
      <c r="E731" s="177" t="d">
        <v>2021-01-25T14:29:59.99999979045242400</v>
      </c>
      <c r="F731" s="178" t="s">
        <v>80</v>
      </c>
      <c r="G731" s="179">
        <v>13734.98</v>
      </c>
      <c r="H731" s="179">
        <v>13792.98</v>
      </c>
      <c r="I731" s="180">
        <f t="shared" si="210"/>
        <v>58</v>
      </c>
      <c r="J731" s="179">
        <v>13309.62</v>
      </c>
      <c r="K731" s="177" t="d">
        <v>2021-01-25T17:19:00.00000015366822150</v>
      </c>
      <c r="L731" s="179">
        <v>13734.5</v>
      </c>
      <c r="M731" s="181">
        <f t="shared" si="211"/>
        <v>0.48</v>
      </c>
      <c r="N731" s="182">
        <f t="shared" si="212"/>
        <v>0.01</v>
      </c>
      <c r="O731" s="183">
        <f t="shared" si="213"/>
        <v>0</v>
      </c>
      <c r="P731" s="184">
        <f t="shared" si="214"/>
        <v>0.01</v>
      </c>
      <c r="Q731" s="184">
        <f t="shared" si="215"/>
        <v>0</v>
      </c>
      <c r="R73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24617.5</v>
      </c>
      <c r="T73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31" s="186">
        <f ca="1">IF(Tabla33610673[[#This Row],[Equity]]&lt;Tabla33610673[[#This Row],[Equity Peak]],(Tabla33610673[[#This Row],[Equity Peak]]-Tabla33610673[[#This Row],[Equity]])/Tabla33610673[[#This Row],[Equity Peak]],"")</f>
        <v>6.7077214590241588E-2</v>
      </c>
      <c r="V731" s="187">
        <f t="shared" si="216"/>
        <v>0</v>
      </c>
      <c r="W731" s="187">
        <f t="shared" si="217"/>
        <v>0</v>
      </c>
      <c r="X731" s="187">
        <f t="shared" si="218"/>
        <v>0</v>
      </c>
      <c r="Y731" s="187">
        <f t="shared" si="219"/>
        <v>0</v>
      </c>
      <c r="Z731" s="187">
        <f t="shared" si="220"/>
        <v>0.01</v>
      </c>
      <c r="AA731" s="183">
        <f t="shared" si="221"/>
        <v>0</v>
      </c>
      <c r="AB731" s="187">
        <f t="shared" si="222"/>
        <v>0</v>
      </c>
      <c r="AC731" s="183">
        <f t="shared" si="223"/>
        <v>0</v>
      </c>
      <c r="AD731" s="188">
        <f t="shared" si="224"/>
        <v>0.117361111115315</v>
      </c>
      <c r="AE731" s="188">
        <f t="shared" si="225"/>
        <v>0.117361111115315</v>
      </c>
      <c r="AF731" s="188">
        <f t="shared" si="226"/>
        <v>0</v>
      </c>
      <c r="AG731" s="188">
        <f t="shared" si="227"/>
        <v>0</v>
      </c>
    </row>
    <row r="732" spans="2:33" ht="15" customHeight="1" x14ac:dyDescent="0.15">
      <c r="B732" s="174" t="s">
        <v>19</v>
      </c>
      <c r="C732" s="175" t="s">
        <v>15</v>
      </c>
      <c r="D732" s="176" t="str">
        <f t="shared" si="209"/>
        <v>C</v>
      </c>
      <c r="E732" s="177" t="d">
        <v>2021-01-25T12:59:59.99999979045242400</v>
      </c>
      <c r="F732" s="178" t="s">
        <v>77</v>
      </c>
      <c r="G732" s="179">
        <v>1862.9</v>
      </c>
      <c r="H732" s="179">
        <v>1856.74</v>
      </c>
      <c r="I732" s="180">
        <f t="shared" si="210"/>
        <v>6.1600000000000819</v>
      </c>
      <c r="J732" s="179">
        <v>1892.48</v>
      </c>
      <c r="K732" s="177" t="d">
        <v>2021-01-25T16:54:00.00000029336660775</v>
      </c>
      <c r="L732" s="179">
        <v>1856.74</v>
      </c>
      <c r="M732" s="181">
        <f t="shared" si="211"/>
        <v>-6.16</v>
      </c>
      <c r="N732" s="182">
        <f t="shared" si="212"/>
        <v>-1</v>
      </c>
      <c r="O732" s="183">
        <f t="shared" si="213"/>
        <v>0</v>
      </c>
      <c r="P732" s="184">
        <f t="shared" si="214"/>
        <v>0</v>
      </c>
      <c r="Q732" s="184">
        <f t="shared" si="215"/>
        <v>-1</v>
      </c>
      <c r="R73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24615</v>
      </c>
      <c r="T73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32" s="186">
        <f ca="1">IF(Tabla33610673[[#This Row],[Equity]]&lt;Tabla33610673[[#This Row],[Equity Peak]],(Tabla33610673[[#This Row],[Equity Peak]]-Tabla33610673[[#This Row],[Equity]])/Tabla33610673[[#This Row],[Equity Peak]],"")</f>
        <v>6.717195641875888E-2</v>
      </c>
      <c r="V732" s="187">
        <f t="shared" si="216"/>
        <v>0</v>
      </c>
      <c r="W732" s="187">
        <f t="shared" si="217"/>
        <v>0</v>
      </c>
      <c r="X732" s="187">
        <f t="shared" si="218"/>
        <v>-1</v>
      </c>
      <c r="Y732" s="187">
        <f t="shared" si="219"/>
        <v>0</v>
      </c>
      <c r="Z732" s="187">
        <f t="shared" si="220"/>
        <v>0</v>
      </c>
      <c r="AA732" s="183">
        <f t="shared" si="221"/>
        <v>0</v>
      </c>
      <c r="AB732" s="187">
        <f t="shared" si="222"/>
        <v>0</v>
      </c>
      <c r="AC732" s="183">
        <f t="shared" si="223"/>
        <v>0</v>
      </c>
      <c r="AD732" s="188">
        <f t="shared" si="224"/>
        <v>0.16250000000582077</v>
      </c>
      <c r="AE732" s="188">
        <f t="shared" si="225"/>
        <v>0</v>
      </c>
      <c r="AF732" s="188">
        <f t="shared" si="226"/>
        <v>0.16250000000582077</v>
      </c>
      <c r="AG732" s="188">
        <f t="shared" si="227"/>
        <v>0</v>
      </c>
    </row>
    <row r="733" spans="2:33" ht="15" customHeight="1" x14ac:dyDescent="0.15">
      <c r="B733" s="174" t="s">
        <v>5</v>
      </c>
      <c r="C733" s="175" t="s">
        <v>15</v>
      </c>
      <c r="D733" s="176" t="str">
        <f t="shared" si="209"/>
        <v>C</v>
      </c>
      <c r="E733" s="177" t="d">
        <v>2021-01-25T02:45:00.00000020954757600</v>
      </c>
      <c r="F733" s="178" t="s">
        <v>82</v>
      </c>
      <c r="G733" s="179">
        <v>3853.73</v>
      </c>
      <c r="H733" s="179">
        <v>3840.06</v>
      </c>
      <c r="I733" s="180">
        <f t="shared" si="210"/>
        <v>13.670000000000073</v>
      </c>
      <c r="J733" s="179">
        <v>3942.6</v>
      </c>
      <c r="K733" s="177" t="d">
        <v>2021-01-25T13:47:59.99999974854290475</v>
      </c>
      <c r="L733" s="179">
        <v>3846.06</v>
      </c>
      <c r="M733" s="181">
        <f t="shared" si="211"/>
        <v>-7.67</v>
      </c>
      <c r="N733" s="182">
        <f t="shared" si="212"/>
        <v>-0.56000000000000005</v>
      </c>
      <c r="O733" s="183">
        <f t="shared" si="213"/>
        <v>0</v>
      </c>
      <c r="P733" s="184">
        <f t="shared" si="214"/>
        <v>0</v>
      </c>
      <c r="Q733" s="184">
        <f t="shared" si="215"/>
        <v>-0.56000000000000005</v>
      </c>
      <c r="R73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24865</v>
      </c>
      <c r="T73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33" s="186">
        <f ca="1">IF(Tabla33610673[[#This Row],[Equity]]&lt;Tabla33610673[[#This Row],[Equity Peak]],(Tabla33610673[[#This Row],[Equity Peak]]-Tabla33610673[[#This Row],[Equity]])/Tabla33610673[[#This Row],[Equity Peak]],"")</f>
        <v>5.7697773567029841E-2</v>
      </c>
      <c r="V733" s="187">
        <f t="shared" si="216"/>
        <v>0</v>
      </c>
      <c r="W733" s="187">
        <f t="shared" si="217"/>
        <v>0</v>
      </c>
      <c r="X733" s="187">
        <f t="shared" si="218"/>
        <v>0</v>
      </c>
      <c r="Y733" s="187">
        <f t="shared" si="219"/>
        <v>0</v>
      </c>
      <c r="Z733" s="187">
        <f t="shared" si="220"/>
        <v>-0.56000000000000005</v>
      </c>
      <c r="AA733" s="183">
        <f t="shared" si="221"/>
        <v>0</v>
      </c>
      <c r="AB733" s="187">
        <f t="shared" si="222"/>
        <v>0</v>
      </c>
      <c r="AC733" s="183">
        <f t="shared" si="223"/>
        <v>0</v>
      </c>
      <c r="AD733" s="188">
        <f t="shared" si="224"/>
        <v>0.46041666666133096</v>
      </c>
      <c r="AE733" s="188">
        <f t="shared" si="225"/>
        <v>0</v>
      </c>
      <c r="AF733" s="188">
        <f t="shared" si="226"/>
        <v>0.46041666666133096</v>
      </c>
      <c r="AG733" s="188">
        <f t="shared" si="227"/>
        <v>0</v>
      </c>
    </row>
    <row r="734" spans="2:33" ht="15" customHeight="1" x14ac:dyDescent="0.15">
      <c r="B734" s="174" t="s">
        <v>19</v>
      </c>
      <c r="C734" s="175" t="s">
        <v>15</v>
      </c>
      <c r="D734" s="176" t="str">
        <f t="shared" si="209"/>
        <v>C</v>
      </c>
      <c r="E734" s="177" t="d">
        <v>2021-01-25T02:45:00.00000020954757600</v>
      </c>
      <c r="F734" s="178" t="s">
        <v>77</v>
      </c>
      <c r="G734" s="179">
        <v>1859.94</v>
      </c>
      <c r="H734" s="179">
        <v>1853.35</v>
      </c>
      <c r="I734" s="180">
        <f t="shared" si="210"/>
        <v>6.5900000000001455</v>
      </c>
      <c r="J734" s="179">
        <v>1891.57</v>
      </c>
      <c r="K734" s="177" t="d">
        <v>2021-01-25T03:39:00.00000008381903175</v>
      </c>
      <c r="L734" s="179">
        <v>1853.35</v>
      </c>
      <c r="M734" s="181">
        <f t="shared" si="211"/>
        <v>-6.59</v>
      </c>
      <c r="N734" s="182">
        <f t="shared" si="212"/>
        <v>-1</v>
      </c>
      <c r="O734" s="183">
        <f t="shared" si="213"/>
        <v>0</v>
      </c>
      <c r="P734" s="184">
        <f t="shared" si="214"/>
        <v>0</v>
      </c>
      <c r="Q734" s="184">
        <f t="shared" si="215"/>
        <v>-1</v>
      </c>
      <c r="R73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25005</v>
      </c>
      <c r="T73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34" s="186">
        <f ca="1">IF(Tabla33610673[[#This Row],[Equity]]&lt;Tabla33610673[[#This Row],[Equity Peak]],(Tabla33610673[[#This Row],[Equity Peak]]-Tabla33610673[[#This Row],[Equity]])/Tabla33610673[[#This Row],[Equity Peak]],"")</f>
        <v>5.239223117006158E-2</v>
      </c>
      <c r="V734" s="187">
        <f t="shared" si="216"/>
        <v>0</v>
      </c>
      <c r="W734" s="187">
        <f t="shared" si="217"/>
        <v>0</v>
      </c>
      <c r="X734" s="187">
        <f t="shared" si="218"/>
        <v>-1</v>
      </c>
      <c r="Y734" s="187">
        <f t="shared" si="219"/>
        <v>0</v>
      </c>
      <c r="Z734" s="187">
        <f t="shared" si="220"/>
        <v>0</v>
      </c>
      <c r="AA734" s="183">
        <f t="shared" si="221"/>
        <v>0</v>
      </c>
      <c r="AB734" s="187">
        <f t="shared" si="222"/>
        <v>0</v>
      </c>
      <c r="AC734" s="183">
        <f t="shared" si="223"/>
        <v>0</v>
      </c>
      <c r="AD734" s="188">
        <f t="shared" si="224"/>
        <v>3.7499999998544808E-2</v>
      </c>
      <c r="AE734" s="188">
        <f t="shared" si="225"/>
        <v>0</v>
      </c>
      <c r="AF734" s="188">
        <f t="shared" si="226"/>
        <v>3.7499999998544808E-2</v>
      </c>
      <c r="AG734" s="188">
        <f t="shared" si="227"/>
        <v>0</v>
      </c>
    </row>
    <row r="735" spans="2:33" ht="15" customHeight="1" x14ac:dyDescent="0.15">
      <c r="B735" s="174" t="s">
        <v>5</v>
      </c>
      <c r="C735" s="175" t="s">
        <v>15</v>
      </c>
      <c r="D735" s="176" t="str">
        <f t="shared" si="209"/>
        <v>C</v>
      </c>
      <c r="E735" s="177" t="d">
        <v>2021-01-22T22:30:00.000</v>
      </c>
      <c r="F735" s="178" t="s">
        <v>82</v>
      </c>
      <c r="G735" s="179">
        <v>3851.69</v>
      </c>
      <c r="H735" s="179">
        <v>3838.19</v>
      </c>
      <c r="I735" s="180">
        <f t="shared" si="210"/>
        <v>13.5</v>
      </c>
      <c r="J735" s="179">
        <v>3939.44</v>
      </c>
      <c r="K735" s="177" t="d">
        <v>2021-01-22T23:00:59.99999977648258200</v>
      </c>
      <c r="L735" s="179">
        <v>3838.48</v>
      </c>
      <c r="M735" s="181">
        <f t="shared" si="211"/>
        <v>-13.21</v>
      </c>
      <c r="N735" s="182">
        <f t="shared" si="212"/>
        <v>-0.98</v>
      </c>
      <c r="O735" s="183">
        <f t="shared" si="213"/>
        <v>0</v>
      </c>
      <c r="P735" s="184">
        <f t="shared" si="214"/>
        <v>0</v>
      </c>
      <c r="Q735" s="184">
        <f t="shared" si="215"/>
        <v>-0.98</v>
      </c>
      <c r="R73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25255</v>
      </c>
      <c r="T73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35" s="186">
        <f ca="1">IF(Tabla33610673[[#This Row],[Equity]]&lt;Tabla33610673[[#This Row],[Equity Peak]],(Tabla33610673[[#This Row],[Equity Peak]]-Tabla33610673[[#This Row],[Equity]])/Tabla33610673[[#This Row],[Equity Peak]],"")</f>
        <v>4.2918048318332541E-2</v>
      </c>
      <c r="V735" s="187">
        <f t="shared" si="216"/>
        <v>0</v>
      </c>
      <c r="W735" s="187">
        <f t="shared" si="217"/>
        <v>0</v>
      </c>
      <c r="X735" s="187">
        <f t="shared" si="218"/>
        <v>0</v>
      </c>
      <c r="Y735" s="187">
        <f t="shared" si="219"/>
        <v>0</v>
      </c>
      <c r="Z735" s="187">
        <f t="shared" si="220"/>
        <v>-0.98</v>
      </c>
      <c r="AA735" s="183">
        <f t="shared" si="221"/>
        <v>0</v>
      </c>
      <c r="AB735" s="187">
        <f t="shared" si="222"/>
        <v>0</v>
      </c>
      <c r="AC735" s="183">
        <f t="shared" si="223"/>
        <v>0</v>
      </c>
      <c r="AD735" s="188">
        <f t="shared" si="224"/>
        <v>2.1527777775190771E-2</v>
      </c>
      <c r="AE735" s="188">
        <f t="shared" si="225"/>
        <v>0</v>
      </c>
      <c r="AF735" s="188">
        <f t="shared" si="226"/>
        <v>2.1527777775190771E-2</v>
      </c>
      <c r="AG735" s="188">
        <f t="shared" si="227"/>
        <v>0</v>
      </c>
    </row>
    <row r="736" spans="2:33" ht="15" customHeight="1" x14ac:dyDescent="0.15">
      <c r="B736" s="174" t="s">
        <v>5</v>
      </c>
      <c r="C736" s="175" t="s">
        <v>13</v>
      </c>
      <c r="D736" s="176" t="str">
        <f t="shared" si="209"/>
        <v>C</v>
      </c>
      <c r="E736" s="177" t="d">
        <v>2021-01-22T11:45:00.00000020954757600</v>
      </c>
      <c r="F736" s="178" t="s">
        <v>80</v>
      </c>
      <c r="G736" s="179">
        <v>13763.9</v>
      </c>
      <c r="H736" s="179">
        <v>13812.6</v>
      </c>
      <c r="I736" s="180">
        <f t="shared" si="210"/>
        <v>48.700000000000728</v>
      </c>
      <c r="J736" s="179">
        <v>13406.8</v>
      </c>
      <c r="K736" s="177" t="d">
        <v>2021-01-22T12:20:59.99999970663339225</v>
      </c>
      <c r="L736" s="179">
        <v>13812.6</v>
      </c>
      <c r="M736" s="181">
        <f t="shared" si="211"/>
        <v>-48.7</v>
      </c>
      <c r="N736" s="182">
        <f t="shared" si="212"/>
        <v>-1</v>
      </c>
      <c r="O736" s="183">
        <f t="shared" si="213"/>
        <v>0</v>
      </c>
      <c r="P736" s="184">
        <f t="shared" si="214"/>
        <v>0</v>
      </c>
      <c r="Q736" s="184">
        <f t="shared" si="215"/>
        <v>-1</v>
      </c>
      <c r="R73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25500</v>
      </c>
      <c r="T73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36" s="186">
        <f ca="1">IF(Tabla33610673[[#This Row],[Equity]]&lt;Tabla33610673[[#This Row],[Equity Peak]],(Tabla33610673[[#This Row],[Equity Peak]]-Tabla33610673[[#This Row],[Equity]])/Tabla33610673[[#This Row],[Equity Peak]],"")</f>
        <v>3.3633349123638086E-2</v>
      </c>
      <c r="V736" s="187">
        <f t="shared" si="216"/>
        <v>0</v>
      </c>
      <c r="W736" s="187">
        <f t="shared" si="217"/>
        <v>0</v>
      </c>
      <c r="X736" s="187">
        <f t="shared" si="218"/>
        <v>0</v>
      </c>
      <c r="Y736" s="187">
        <f t="shared" si="219"/>
        <v>0</v>
      </c>
      <c r="Z736" s="187">
        <f t="shared" si="220"/>
        <v>-1</v>
      </c>
      <c r="AA736" s="183">
        <f t="shared" si="221"/>
        <v>0</v>
      </c>
      <c r="AB736" s="187">
        <f t="shared" si="222"/>
        <v>0</v>
      </c>
      <c r="AC736" s="183">
        <f t="shared" si="223"/>
        <v>0</v>
      </c>
      <c r="AD736" s="188">
        <f t="shared" si="224"/>
        <v>2.4999999994179234E-2</v>
      </c>
      <c r="AE736" s="188">
        <f t="shared" si="225"/>
        <v>0</v>
      </c>
      <c r="AF736" s="188">
        <f t="shared" si="226"/>
        <v>2.4999999994179234E-2</v>
      </c>
      <c r="AG736" s="188">
        <f t="shared" si="227"/>
        <v>0</v>
      </c>
    </row>
    <row r="737" spans="2:33" ht="15" customHeight="1" x14ac:dyDescent="0.15">
      <c r="B737" s="174" t="s">
        <v>5</v>
      </c>
      <c r="C737" s="175" t="s">
        <v>13</v>
      </c>
      <c r="D737" s="176" t="str">
        <f t="shared" si="209"/>
        <v>C</v>
      </c>
      <c r="E737" s="177" t="d">
        <v>2021-01-22T10:30:00.000</v>
      </c>
      <c r="F737" s="178" t="s">
        <v>80</v>
      </c>
      <c r="G737" s="179">
        <v>13785.96</v>
      </c>
      <c r="H737" s="179">
        <v>13832.44</v>
      </c>
      <c r="I737" s="180">
        <f t="shared" si="210"/>
        <v>46.480000000001382</v>
      </c>
      <c r="J737" s="179">
        <v>13445.14</v>
      </c>
      <c r="K737" s="177" t="d">
        <v>2021-01-22T11:06:00.00000012572854425</v>
      </c>
      <c r="L737" s="179">
        <v>13832.44</v>
      </c>
      <c r="M737" s="181">
        <f t="shared" si="211"/>
        <v>-46.48</v>
      </c>
      <c r="N737" s="182">
        <f t="shared" si="212"/>
        <v>-1</v>
      </c>
      <c r="O737" s="183">
        <f t="shared" si="213"/>
        <v>0</v>
      </c>
      <c r="P737" s="184">
        <f t="shared" si="214"/>
        <v>0</v>
      </c>
      <c r="Q737" s="184">
        <f t="shared" si="215"/>
        <v>-1</v>
      </c>
      <c r="R73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25750</v>
      </c>
      <c r="T73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37" s="186">
        <f ca="1">IF(Tabla33610673[[#This Row],[Equity]]&lt;Tabla33610673[[#This Row],[Equity Peak]],(Tabla33610673[[#This Row],[Equity Peak]]-Tabla33610673[[#This Row],[Equity]])/Tabla33610673[[#This Row],[Equity Peak]],"")</f>
        <v>2.4159166271909047E-2</v>
      </c>
      <c r="V737" s="187">
        <f t="shared" si="216"/>
        <v>0</v>
      </c>
      <c r="W737" s="187">
        <f t="shared" si="217"/>
        <v>0</v>
      </c>
      <c r="X737" s="187">
        <f t="shared" si="218"/>
        <v>0</v>
      </c>
      <c r="Y737" s="187">
        <f t="shared" si="219"/>
        <v>0</v>
      </c>
      <c r="Z737" s="187">
        <f t="shared" si="220"/>
        <v>-1</v>
      </c>
      <c r="AA737" s="183">
        <f t="shared" si="221"/>
        <v>0</v>
      </c>
      <c r="AB737" s="187">
        <f t="shared" si="222"/>
        <v>0</v>
      </c>
      <c r="AC737" s="183">
        <f t="shared" si="223"/>
        <v>0</v>
      </c>
      <c r="AD737" s="188">
        <f t="shared" si="224"/>
        <v>2.5000000001455192E-2</v>
      </c>
      <c r="AE737" s="188">
        <f t="shared" si="225"/>
        <v>0</v>
      </c>
      <c r="AF737" s="188">
        <f t="shared" si="226"/>
        <v>2.5000000001455192E-2</v>
      </c>
      <c r="AG737" s="188">
        <f t="shared" si="227"/>
        <v>0</v>
      </c>
    </row>
    <row r="738" spans="2:33" ht="15" customHeight="1" x14ac:dyDescent="0.15">
      <c r="B738" s="174" t="s">
        <v>5</v>
      </c>
      <c r="C738" s="175" t="s">
        <v>15</v>
      </c>
      <c r="D738" s="176" t="str">
        <f t="shared" si="209"/>
        <v>C</v>
      </c>
      <c r="E738" s="177" t="d">
        <v>2021-01-20T01:15:00.00000020954757600</v>
      </c>
      <c r="F738" s="178" t="s">
        <v>82</v>
      </c>
      <c r="G738" s="179">
        <v>3806.62</v>
      </c>
      <c r="H738" s="179">
        <v>3790.57</v>
      </c>
      <c r="I738" s="180">
        <f t="shared" si="210"/>
        <v>16.049999999999727</v>
      </c>
      <c r="J738" s="179">
        <v>3910.95</v>
      </c>
      <c r="K738" s="177" t="d">
        <v>2021-01-21T15:53:59.99999987427145575</v>
      </c>
      <c r="L738" s="179">
        <v>3850.63</v>
      </c>
      <c r="M738" s="181">
        <f t="shared" si="211"/>
        <v>44.01</v>
      </c>
      <c r="N738" s="182">
        <f t="shared" si="212"/>
        <v>2.74</v>
      </c>
      <c r="O738" s="183">
        <f t="shared" si="213"/>
        <v>0</v>
      </c>
      <c r="P738" s="184">
        <f t="shared" si="214"/>
        <v>2.74</v>
      </c>
      <c r="Q738" s="184">
        <f t="shared" si="215"/>
        <v>0</v>
      </c>
      <c r="R73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26000</v>
      </c>
      <c r="T73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38" s="186">
        <f ca="1">IF(Tabla33610673[[#This Row],[Equity]]&lt;Tabla33610673[[#This Row],[Equity Peak]],(Tabla33610673[[#This Row],[Equity Peak]]-Tabla33610673[[#This Row],[Equity]])/Tabla33610673[[#This Row],[Equity Peak]],"")</f>
        <v>1.4684983420180009E-2</v>
      </c>
      <c r="V738" s="187">
        <f t="shared" si="216"/>
        <v>0</v>
      </c>
      <c r="W738" s="187">
        <f t="shared" si="217"/>
        <v>0</v>
      </c>
      <c r="X738" s="187">
        <f t="shared" si="218"/>
        <v>0</v>
      </c>
      <c r="Y738" s="187">
        <f t="shared" si="219"/>
        <v>0</v>
      </c>
      <c r="Z738" s="187">
        <f t="shared" si="220"/>
        <v>2.74</v>
      </c>
      <c r="AA738" s="183">
        <f t="shared" si="221"/>
        <v>0</v>
      </c>
      <c r="AB738" s="187">
        <f t="shared" si="222"/>
        <v>0</v>
      </c>
      <c r="AC738" s="183">
        <f t="shared" si="223"/>
        <v>0</v>
      </c>
      <c r="AD738" s="188">
        <f t="shared" si="224"/>
        <v>1.6104166666627862</v>
      </c>
      <c r="AE738" s="188">
        <f t="shared" si="225"/>
        <v>1.6104166666627862</v>
      </c>
      <c r="AF738" s="188">
        <f t="shared" si="226"/>
        <v>0</v>
      </c>
      <c r="AG738" s="188">
        <f t="shared" si="227"/>
        <v>0</v>
      </c>
    </row>
    <row r="739" spans="2:33" ht="15" customHeight="1" x14ac:dyDescent="0.15">
      <c r="B739" s="174" t="s">
        <v>5</v>
      </c>
      <c r="C739" s="175" t="s">
        <v>15</v>
      </c>
      <c r="D739" s="176" t="str">
        <f t="shared" si="209"/>
        <v>C</v>
      </c>
      <c r="E739" s="177" t="d">
        <v>2021-01-21T01:30:00.000</v>
      </c>
      <c r="F739" s="178" t="s">
        <v>80</v>
      </c>
      <c r="G739" s="179">
        <v>13972.38</v>
      </c>
      <c r="H739" s="179">
        <v>13925.52</v>
      </c>
      <c r="I739" s="180">
        <f t="shared" si="210"/>
        <v>46.859999999998763</v>
      </c>
      <c r="J739" s="179">
        <v>14316.05</v>
      </c>
      <c r="K739" s="177" t="d">
        <v>2021-01-21T10:54:00.00000029336660775</v>
      </c>
      <c r="L739" s="179">
        <v>13952.47</v>
      </c>
      <c r="M739" s="181">
        <f t="shared" si="211"/>
        <v>-19.91</v>
      </c>
      <c r="N739" s="182">
        <f t="shared" si="212"/>
        <v>-0.42</v>
      </c>
      <c r="O739" s="183">
        <f t="shared" si="213"/>
        <v>0</v>
      </c>
      <c r="P739" s="184">
        <f t="shared" si="214"/>
        <v>0</v>
      </c>
      <c r="Q739" s="184">
        <f t="shared" si="215"/>
        <v>-0.42</v>
      </c>
      <c r="R73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25315</v>
      </c>
      <c r="T73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39" s="186">
        <f ca="1">IF(Tabla33610673[[#This Row],[Equity]]&lt;Tabla33610673[[#This Row],[Equity Peak]],(Tabla33610673[[#This Row],[Equity Peak]]-Tabla33610673[[#This Row],[Equity]])/Tabla33610673[[#This Row],[Equity Peak]],"")</f>
        <v>4.0644244433917572E-2</v>
      </c>
      <c r="V739" s="187">
        <f t="shared" si="216"/>
        <v>0</v>
      </c>
      <c r="W739" s="187">
        <f t="shared" si="217"/>
        <v>0</v>
      </c>
      <c r="X739" s="187">
        <f t="shared" si="218"/>
        <v>0</v>
      </c>
      <c r="Y739" s="187">
        <f t="shared" si="219"/>
        <v>0</v>
      </c>
      <c r="Z739" s="187">
        <f t="shared" si="220"/>
        <v>-0.42</v>
      </c>
      <c r="AA739" s="183">
        <f t="shared" si="221"/>
        <v>0</v>
      </c>
      <c r="AB739" s="187">
        <f t="shared" si="222"/>
        <v>0</v>
      </c>
      <c r="AC739" s="183">
        <f t="shared" si="223"/>
        <v>0</v>
      </c>
      <c r="AD739" s="188">
        <f t="shared" si="224"/>
        <v>0.39166666667006211</v>
      </c>
      <c r="AE739" s="188">
        <f t="shared" si="225"/>
        <v>0</v>
      </c>
      <c r="AF739" s="188">
        <f t="shared" si="226"/>
        <v>0.39166666667006211</v>
      </c>
      <c r="AG739" s="188">
        <f t="shared" si="227"/>
        <v>0</v>
      </c>
    </row>
    <row r="740" spans="2:33" ht="15" customHeight="1" x14ac:dyDescent="0.15">
      <c r="B740" s="174" t="s">
        <v>19</v>
      </c>
      <c r="C740" s="175" t="s">
        <v>15</v>
      </c>
      <c r="D740" s="176" t="str">
        <f t="shared" si="209"/>
        <v>C</v>
      </c>
      <c r="E740" s="177" t="d">
        <v>2021-01-20T16:30:00.000</v>
      </c>
      <c r="F740" s="178" t="s">
        <v>77</v>
      </c>
      <c r="G740" s="179">
        <v>1860.1</v>
      </c>
      <c r="H740" s="179">
        <v>1853.11</v>
      </c>
      <c r="I740" s="180">
        <f t="shared" si="210"/>
        <v>6.9900000000000091</v>
      </c>
      <c r="J740" s="179">
        <v>1893.67</v>
      </c>
      <c r="K740" s="177" t="d">
        <v>2021-01-21T09:39:00.00000008381903175</v>
      </c>
      <c r="L740" s="179">
        <v>1867.56</v>
      </c>
      <c r="M740" s="181">
        <f t="shared" si="211"/>
        <v>7.46</v>
      </c>
      <c r="N740" s="182">
        <f t="shared" si="212"/>
        <v>1.07</v>
      </c>
      <c r="O740" s="183">
        <f t="shared" si="213"/>
        <v>0</v>
      </c>
      <c r="P740" s="184">
        <f t="shared" si="214"/>
        <v>1.07</v>
      </c>
      <c r="Q740" s="184">
        <f t="shared" si="215"/>
        <v>0</v>
      </c>
      <c r="R74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25420</v>
      </c>
      <c r="T74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40" s="186">
        <f ca="1">IF(Tabla33610673[[#This Row],[Equity]]&lt;Tabla33610673[[#This Row],[Equity Peak]],(Tabla33610673[[#This Row],[Equity Peak]]-Tabla33610673[[#This Row],[Equity]])/Tabla33610673[[#This Row],[Equity Peak]],"")</f>
        <v>3.6665087636191376E-2</v>
      </c>
      <c r="V740" s="187">
        <f t="shared" si="216"/>
        <v>0</v>
      </c>
      <c r="W740" s="187">
        <f t="shared" si="217"/>
        <v>0</v>
      </c>
      <c r="X740" s="187">
        <f t="shared" si="218"/>
        <v>1.07</v>
      </c>
      <c r="Y740" s="187">
        <f t="shared" si="219"/>
        <v>0</v>
      </c>
      <c r="Z740" s="187">
        <f t="shared" si="220"/>
        <v>0</v>
      </c>
      <c r="AA740" s="183">
        <f t="shared" si="221"/>
        <v>0</v>
      </c>
      <c r="AB740" s="187">
        <f t="shared" si="222"/>
        <v>0</v>
      </c>
      <c r="AC740" s="183">
        <f t="shared" si="223"/>
        <v>0</v>
      </c>
      <c r="AD740" s="188">
        <f t="shared" si="224"/>
        <v>0.71458333333430346</v>
      </c>
      <c r="AE740" s="188">
        <f t="shared" si="225"/>
        <v>0.71458333333430346</v>
      </c>
      <c r="AF740" s="188">
        <f t="shared" si="226"/>
        <v>0</v>
      </c>
      <c r="AG740" s="188">
        <f t="shared" si="227"/>
        <v>0</v>
      </c>
    </row>
    <row r="741" spans="2:33" ht="15" customHeight="1" x14ac:dyDescent="0.15">
      <c r="B741" s="174" t="s">
        <v>5</v>
      </c>
      <c r="C741" s="175" t="s">
        <v>15</v>
      </c>
      <c r="D741" s="176" t="str">
        <f t="shared" si="209"/>
        <v>C</v>
      </c>
      <c r="E741" s="177" t="d">
        <v>2021-01-19T20:00:00.00000020954757600</v>
      </c>
      <c r="F741" s="178" t="s">
        <v>81</v>
      </c>
      <c r="G741" s="179">
        <v>12964.45</v>
      </c>
      <c r="H741" s="179">
        <v>12914.07</v>
      </c>
      <c r="I741" s="180">
        <f t="shared" si="210"/>
        <v>50.380000000001019</v>
      </c>
      <c r="J741" s="179">
        <v>13266.72</v>
      </c>
      <c r="K741" s="177" t="d">
        <v>2021-01-20T19:02:59.99999974854290475</v>
      </c>
      <c r="L741" s="179">
        <v>13266.72</v>
      </c>
      <c r="M741" s="181">
        <f t="shared" si="211"/>
        <v>302.27</v>
      </c>
      <c r="N741" s="182">
        <f t="shared" si="212"/>
        <v>6</v>
      </c>
      <c r="O741" s="183">
        <f t="shared" si="213"/>
        <v>0</v>
      </c>
      <c r="P741" s="184">
        <f t="shared" si="214"/>
        <v>6</v>
      </c>
      <c r="Q741" s="184">
        <f t="shared" si="215"/>
        <v>0</v>
      </c>
      <c r="R74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25152.5</v>
      </c>
      <c r="T74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41" s="186">
        <f ca="1">IF(Tabla33610673[[#This Row],[Equity]]&lt;Tabla33610673[[#This Row],[Equity Peak]],(Tabla33610673[[#This Row],[Equity Peak]]-Tabla33610673[[#This Row],[Equity]])/Tabla33610673[[#This Row],[Equity Peak]],"")</f>
        <v>4.6802463287541451E-2</v>
      </c>
      <c r="V741" s="187">
        <f t="shared" si="216"/>
        <v>0</v>
      </c>
      <c r="W741" s="187">
        <f t="shared" si="217"/>
        <v>0</v>
      </c>
      <c r="X741" s="187">
        <f t="shared" si="218"/>
        <v>0</v>
      </c>
      <c r="Y741" s="187">
        <f t="shared" si="219"/>
        <v>0</v>
      </c>
      <c r="Z741" s="187">
        <f t="shared" si="220"/>
        <v>6</v>
      </c>
      <c r="AA741" s="183">
        <f t="shared" si="221"/>
        <v>0</v>
      </c>
      <c r="AB741" s="187">
        <f t="shared" si="222"/>
        <v>0</v>
      </c>
      <c r="AC741" s="183">
        <f t="shared" si="223"/>
        <v>0</v>
      </c>
      <c r="AD741" s="188">
        <f t="shared" si="224"/>
        <v>0.96041666666133096</v>
      </c>
      <c r="AE741" s="188">
        <f t="shared" si="225"/>
        <v>0.96041666666133096</v>
      </c>
      <c r="AF741" s="188">
        <f t="shared" si="226"/>
        <v>0</v>
      </c>
      <c r="AG741" s="188">
        <f t="shared" si="227"/>
        <v>0</v>
      </c>
    </row>
    <row r="742" spans="2:33" ht="15" customHeight="1" x14ac:dyDescent="0.15">
      <c r="B742" s="174" t="s">
        <v>7</v>
      </c>
      <c r="C742" s="175" t="s">
        <v>15</v>
      </c>
      <c r="D742" s="176" t="str">
        <f t="shared" si="209"/>
        <v>C</v>
      </c>
      <c r="E742" s="177" t="d">
        <v>2021-01-20T11:15:00.000</v>
      </c>
      <c r="F742" s="178" t="s">
        <v>102</v>
      </c>
      <c r="G742" s="179">
        <v>142.09200000000001</v>
      </c>
      <c r="H742" s="179">
        <v>141.86099999999999</v>
      </c>
      <c r="I742" s="180">
        <f t="shared" si="210"/>
        <v>0.23100000000002296</v>
      </c>
      <c r="J742" s="179">
        <v>143.32599999999999</v>
      </c>
      <c r="K742" s="177" t="d">
        <v>2021-01-20T14:23:59.99999987427145575</v>
      </c>
      <c r="L742" s="179">
        <v>141.922</v>
      </c>
      <c r="M742" s="181">
        <f t="shared" si="211"/>
        <v>-0.17</v>
      </c>
      <c r="N742" s="182">
        <f t="shared" si="212"/>
        <v>-0.74</v>
      </c>
      <c r="O742" s="183">
        <f t="shared" si="213"/>
        <v>0</v>
      </c>
      <c r="P742" s="184">
        <f t="shared" si="214"/>
        <v>0</v>
      </c>
      <c r="Q742" s="184">
        <f t="shared" si="215"/>
        <v>-0.74</v>
      </c>
      <c r="R74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23652.5</v>
      </c>
      <c r="T74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42" s="186">
        <f ca="1">IF(Tabla33610673[[#This Row],[Equity]]&lt;Tabla33610673[[#This Row],[Equity Peak]],(Tabla33610673[[#This Row],[Equity Peak]]-Tabla33610673[[#This Row],[Equity]])/Tabla33610673[[#This Row],[Equity Peak]],"")</f>
        <v>0.10364756039791569</v>
      </c>
      <c r="V742" s="187">
        <f t="shared" si="216"/>
        <v>-0.74</v>
      </c>
      <c r="W742" s="187">
        <f t="shared" si="217"/>
        <v>0</v>
      </c>
      <c r="X742" s="187">
        <f t="shared" si="218"/>
        <v>0</v>
      </c>
      <c r="Y742" s="187">
        <f t="shared" si="219"/>
        <v>0</v>
      </c>
      <c r="Z742" s="187">
        <f t="shared" si="220"/>
        <v>0</v>
      </c>
      <c r="AA742" s="183">
        <f t="shared" si="221"/>
        <v>0</v>
      </c>
      <c r="AB742" s="187">
        <f t="shared" si="222"/>
        <v>0</v>
      </c>
      <c r="AC742" s="183">
        <f t="shared" si="223"/>
        <v>0</v>
      </c>
      <c r="AD742" s="188">
        <f t="shared" si="224"/>
        <v>0.13124999999854481</v>
      </c>
      <c r="AE742" s="188">
        <f t="shared" si="225"/>
        <v>0</v>
      </c>
      <c r="AF742" s="188">
        <f t="shared" si="226"/>
        <v>0.13124999999854481</v>
      </c>
      <c r="AG742" s="188">
        <f t="shared" si="227"/>
        <v>0</v>
      </c>
    </row>
    <row r="743" spans="2:33" ht="15" customHeight="1" x14ac:dyDescent="0.15">
      <c r="B743" s="174" t="s">
        <v>19</v>
      </c>
      <c r="C743" s="175" t="s">
        <v>15</v>
      </c>
      <c r="D743" s="176" t="str">
        <f t="shared" si="209"/>
        <v>C</v>
      </c>
      <c r="E743" s="177" t="d">
        <v>2021-01-18T07:44:59.99999979045242400</v>
      </c>
      <c r="F743" s="178" t="s">
        <v>77</v>
      </c>
      <c r="G743" s="179">
        <v>1836.13</v>
      </c>
      <c r="H743" s="179">
        <v>1827.91</v>
      </c>
      <c r="I743" s="180">
        <f t="shared" si="210"/>
        <v>8.2200000000000273</v>
      </c>
      <c r="J743" s="179">
        <v>1875.57</v>
      </c>
      <c r="K743" s="177" t="d">
        <v>2021-01-20T13:37:00.00000011175870900</v>
      </c>
      <c r="L743" s="179">
        <v>1850.22</v>
      </c>
      <c r="M743" s="181">
        <f t="shared" si="211"/>
        <v>14.09</v>
      </c>
      <c r="N743" s="182">
        <f t="shared" si="212"/>
        <v>1.71</v>
      </c>
      <c r="O743" s="183">
        <f t="shared" si="213"/>
        <v>0</v>
      </c>
      <c r="P743" s="184">
        <f t="shared" si="214"/>
        <v>1.71</v>
      </c>
      <c r="Q743" s="184">
        <f t="shared" si="215"/>
        <v>0</v>
      </c>
      <c r="R74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23837.5</v>
      </c>
      <c r="T74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43" s="186">
        <f ca="1">IF(Tabla33610673[[#This Row],[Equity]]&lt;Tabla33610673[[#This Row],[Equity Peak]],(Tabla33610673[[#This Row],[Equity Peak]]-Tabla33610673[[#This Row],[Equity]])/Tabla33610673[[#This Row],[Equity Peak]],"")</f>
        <v>9.6636665087636187E-2</v>
      </c>
      <c r="V743" s="187">
        <f t="shared" si="216"/>
        <v>0</v>
      </c>
      <c r="W743" s="187">
        <f t="shared" si="217"/>
        <v>0</v>
      </c>
      <c r="X743" s="187">
        <f t="shared" si="218"/>
        <v>1.71</v>
      </c>
      <c r="Y743" s="187">
        <f t="shared" si="219"/>
        <v>0</v>
      </c>
      <c r="Z743" s="187">
        <f t="shared" si="220"/>
        <v>0</v>
      </c>
      <c r="AA743" s="183">
        <f t="shared" si="221"/>
        <v>0</v>
      </c>
      <c r="AB743" s="187">
        <f t="shared" si="222"/>
        <v>0</v>
      </c>
      <c r="AC743" s="183">
        <f t="shared" si="223"/>
        <v>0</v>
      </c>
      <c r="AD743" s="188">
        <f t="shared" si="224"/>
        <v>2.2444444444481633</v>
      </c>
      <c r="AE743" s="188">
        <f t="shared" si="225"/>
        <v>2.2444444444481633</v>
      </c>
      <c r="AF743" s="188">
        <f t="shared" si="226"/>
        <v>0</v>
      </c>
      <c r="AG743" s="188">
        <f t="shared" si="227"/>
        <v>0</v>
      </c>
    </row>
    <row r="744" spans="2:33" ht="15" customHeight="1" x14ac:dyDescent="0.15">
      <c r="B744" s="174" t="s">
        <v>5</v>
      </c>
      <c r="C744" s="175" t="s">
        <v>15</v>
      </c>
      <c r="D744" s="176" t="str">
        <f t="shared" si="209"/>
        <v>C</v>
      </c>
      <c r="E744" s="177" t="d">
        <v>2021-01-19T02:45:00.00000020954757600</v>
      </c>
      <c r="F744" s="178" t="s">
        <v>82</v>
      </c>
      <c r="G744" s="179">
        <v>3787.95</v>
      </c>
      <c r="H744" s="179">
        <v>3771.24</v>
      </c>
      <c r="I744" s="180">
        <f t="shared" si="210"/>
        <v>16.710000000000036</v>
      </c>
      <c r="J744" s="179">
        <v>3896.55</v>
      </c>
      <c r="K744" s="177" t="d">
        <v>2021-01-19T16:54:00.00000029336660775</v>
      </c>
      <c r="L744" s="179">
        <v>3784.27</v>
      </c>
      <c r="M744" s="181">
        <f t="shared" si="211"/>
        <v>-3.68</v>
      </c>
      <c r="N744" s="182">
        <f t="shared" si="212"/>
        <v>-0.22</v>
      </c>
      <c r="O744" s="183">
        <f t="shared" si="213"/>
        <v>0</v>
      </c>
      <c r="P744" s="184">
        <f t="shared" si="214"/>
        <v>0</v>
      </c>
      <c r="Q744" s="184">
        <f t="shared" si="215"/>
        <v>-0.22</v>
      </c>
      <c r="R74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23410</v>
      </c>
      <c r="T74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44" s="186">
        <f ca="1">IF(Tabla33610673[[#This Row],[Equity]]&lt;Tabla33610673[[#This Row],[Equity Peak]],(Tabla33610673[[#This Row],[Equity Peak]]-Tabla33610673[[#This Row],[Equity]])/Tabla33610673[[#This Row],[Equity Peak]],"")</f>
        <v>0.11283751776409284</v>
      </c>
      <c r="V744" s="187">
        <f t="shared" si="216"/>
        <v>0</v>
      </c>
      <c r="W744" s="187">
        <f t="shared" si="217"/>
        <v>0</v>
      </c>
      <c r="X744" s="187">
        <f t="shared" si="218"/>
        <v>0</v>
      </c>
      <c r="Y744" s="187">
        <f t="shared" si="219"/>
        <v>0</v>
      </c>
      <c r="Z744" s="187">
        <f t="shared" si="220"/>
        <v>-0.22</v>
      </c>
      <c r="AA744" s="183">
        <f t="shared" si="221"/>
        <v>0</v>
      </c>
      <c r="AB744" s="187">
        <f t="shared" si="222"/>
        <v>0</v>
      </c>
      <c r="AC744" s="183">
        <f t="shared" si="223"/>
        <v>0</v>
      </c>
      <c r="AD744" s="188">
        <f t="shared" si="224"/>
        <v>0.58958333333430346</v>
      </c>
      <c r="AE744" s="188">
        <f t="shared" si="225"/>
        <v>0</v>
      </c>
      <c r="AF744" s="188">
        <f t="shared" si="226"/>
        <v>0.58958333333430346</v>
      </c>
      <c r="AG744" s="188">
        <f t="shared" si="227"/>
        <v>0</v>
      </c>
    </row>
    <row r="745" spans="2:33" ht="15" customHeight="1" x14ac:dyDescent="0.15">
      <c r="B745" s="174" t="s">
        <v>5</v>
      </c>
      <c r="C745" s="175" t="s">
        <v>15</v>
      </c>
      <c r="D745" s="176" t="str">
        <f t="shared" si="209"/>
        <v>C</v>
      </c>
      <c r="E745" s="177" t="d">
        <v>2021-01-19T05:29:59.99999979045242400</v>
      </c>
      <c r="F745" s="178" t="s">
        <v>81</v>
      </c>
      <c r="G745" s="179">
        <v>12949.95</v>
      </c>
      <c r="H745" s="179">
        <v>12899.37</v>
      </c>
      <c r="I745" s="180">
        <f t="shared" si="210"/>
        <v>50.579999999999927</v>
      </c>
      <c r="J745" s="179">
        <v>13253.44</v>
      </c>
      <c r="K745" s="177" t="d">
        <v>2021-01-19T15:53:59.99999987427145575</v>
      </c>
      <c r="L745" s="179">
        <v>12899.37</v>
      </c>
      <c r="M745" s="181">
        <f t="shared" si="211"/>
        <v>-50.58</v>
      </c>
      <c r="N745" s="182">
        <f t="shared" si="212"/>
        <v>-1</v>
      </c>
      <c r="O745" s="183">
        <f t="shared" si="213"/>
        <v>0</v>
      </c>
      <c r="P745" s="184">
        <f t="shared" si="214"/>
        <v>0</v>
      </c>
      <c r="Q745" s="184">
        <f t="shared" si="215"/>
        <v>-1</v>
      </c>
      <c r="R74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23465</v>
      </c>
      <c r="T74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45" s="186">
        <f ca="1">IF(Tabla33610673[[#This Row],[Equity]]&lt;Tabla33610673[[#This Row],[Equity Peak]],(Tabla33610673[[#This Row],[Equity Peak]]-Tabla33610673[[#This Row],[Equity]])/Tabla33610673[[#This Row],[Equity Peak]],"")</f>
        <v>0.11075319753671246</v>
      </c>
      <c r="V745" s="187">
        <f t="shared" si="216"/>
        <v>0</v>
      </c>
      <c r="W745" s="187">
        <f t="shared" si="217"/>
        <v>0</v>
      </c>
      <c r="X745" s="187">
        <f t="shared" si="218"/>
        <v>0</v>
      </c>
      <c r="Y745" s="187">
        <f t="shared" si="219"/>
        <v>0</v>
      </c>
      <c r="Z745" s="187">
        <f t="shared" si="220"/>
        <v>-1</v>
      </c>
      <c r="AA745" s="183">
        <f t="shared" si="221"/>
        <v>0</v>
      </c>
      <c r="AB745" s="187">
        <f t="shared" si="222"/>
        <v>0</v>
      </c>
      <c r="AC745" s="183">
        <f t="shared" si="223"/>
        <v>0</v>
      </c>
      <c r="AD745" s="188">
        <f t="shared" si="224"/>
        <v>0.43333333333430346</v>
      </c>
      <c r="AE745" s="188">
        <f t="shared" si="225"/>
        <v>0</v>
      </c>
      <c r="AF745" s="188">
        <f t="shared" si="226"/>
        <v>0.43333333333430346</v>
      </c>
      <c r="AG745" s="188">
        <f t="shared" si="227"/>
        <v>0</v>
      </c>
    </row>
    <row r="746" spans="2:33" ht="15" customHeight="1" x14ac:dyDescent="0.15">
      <c r="B746" s="174" t="s">
        <v>7</v>
      </c>
      <c r="C746" s="175" t="s">
        <v>13</v>
      </c>
      <c r="D746" s="176" t="str">
        <f t="shared" si="209"/>
        <v>C</v>
      </c>
      <c r="E746" s="177" t="d">
        <v>2021-01-15T14:45:00.00000020954757600</v>
      </c>
      <c r="F746" s="178" t="s">
        <v>102</v>
      </c>
      <c r="G746" s="179">
        <v>141.23500000000001</v>
      </c>
      <c r="H746" s="179">
        <v>141.51499999999999</v>
      </c>
      <c r="I746" s="180">
        <f t="shared" si="210"/>
        <v>0.27999999999997272</v>
      </c>
      <c r="J746" s="179">
        <v>139.74199999999999</v>
      </c>
      <c r="K746" s="177" t="d">
        <v>2021-01-18T17:06:00.00000012572854425</v>
      </c>
      <c r="L746" s="179">
        <v>140.755</v>
      </c>
      <c r="M746" s="181">
        <f t="shared" si="211"/>
        <v>0.48</v>
      </c>
      <c r="N746" s="182">
        <f t="shared" si="212"/>
        <v>1.71</v>
      </c>
      <c r="O746" s="183">
        <f t="shared" si="213"/>
        <v>0</v>
      </c>
      <c r="P746" s="184">
        <f t="shared" si="214"/>
        <v>1.71</v>
      </c>
      <c r="Q746" s="184">
        <f t="shared" si="215"/>
        <v>0</v>
      </c>
      <c r="R74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23715</v>
      </c>
      <c r="T74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46" s="186">
        <f ca="1">IF(Tabla33610673[[#This Row],[Equity]]&lt;Tabla33610673[[#This Row],[Equity Peak]],(Tabla33610673[[#This Row],[Equity Peak]]-Tabla33610673[[#This Row],[Equity]])/Tabla33610673[[#This Row],[Equity Peak]],"")</f>
        <v>0.10127901468498342</v>
      </c>
      <c r="V746" s="187">
        <f t="shared" si="216"/>
        <v>1.71</v>
      </c>
      <c r="W746" s="187">
        <f t="shared" si="217"/>
        <v>0</v>
      </c>
      <c r="X746" s="187">
        <f t="shared" si="218"/>
        <v>0</v>
      </c>
      <c r="Y746" s="187">
        <f t="shared" si="219"/>
        <v>0</v>
      </c>
      <c r="Z746" s="187">
        <f t="shared" si="220"/>
        <v>0</v>
      </c>
      <c r="AA746" s="183">
        <f t="shared" si="221"/>
        <v>0</v>
      </c>
      <c r="AB746" s="187">
        <f t="shared" si="222"/>
        <v>0</v>
      </c>
      <c r="AC746" s="183">
        <f t="shared" si="223"/>
        <v>0</v>
      </c>
      <c r="AD746" s="188">
        <f t="shared" si="224"/>
        <v>3.0979166666656965</v>
      </c>
      <c r="AE746" s="188">
        <f t="shared" si="225"/>
        <v>3.0979166666656965</v>
      </c>
      <c r="AF746" s="188">
        <f t="shared" si="226"/>
        <v>0</v>
      </c>
      <c r="AG746" s="188">
        <f t="shared" si="227"/>
        <v>0</v>
      </c>
    </row>
    <row r="747" spans="2:33" ht="15" customHeight="1" x14ac:dyDescent="0.15">
      <c r="B747" s="174" t="s">
        <v>5</v>
      </c>
      <c r="C747" s="175" t="s">
        <v>13</v>
      </c>
      <c r="D747" s="176" t="str">
        <f t="shared" si="209"/>
        <v>C</v>
      </c>
      <c r="E747" s="177" t="d">
        <v>2021-01-15T17:15:00.000</v>
      </c>
      <c r="F747" s="178" t="s">
        <v>80</v>
      </c>
      <c r="G747" s="179">
        <v>13737.68</v>
      </c>
      <c r="H747" s="179">
        <v>13795.24</v>
      </c>
      <c r="I747" s="180">
        <f t="shared" si="210"/>
        <v>57.559999999999491</v>
      </c>
      <c r="J747" s="179">
        <v>13315.59</v>
      </c>
      <c r="K747" s="177" t="d">
        <v>2021-01-15T20:20:59.99999991618096825</v>
      </c>
      <c r="L747" s="179">
        <v>13795.24</v>
      </c>
      <c r="M747" s="181">
        <f t="shared" si="211"/>
        <v>-57.56</v>
      </c>
      <c r="N747" s="182">
        <f t="shared" si="212"/>
        <v>-1</v>
      </c>
      <c r="O747" s="183">
        <f t="shared" si="213"/>
        <v>0</v>
      </c>
      <c r="P747" s="184">
        <f t="shared" si="214"/>
        <v>0</v>
      </c>
      <c r="Q747" s="184">
        <f t="shared" si="215"/>
        <v>-1</v>
      </c>
      <c r="R74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23287.5</v>
      </c>
      <c r="T74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47" s="186">
        <f ca="1">IF(Tabla33610673[[#This Row],[Equity]]&lt;Tabla33610673[[#This Row],[Equity Peak]],(Tabla33610673[[#This Row],[Equity Peak]]-Tabla33610673[[#This Row],[Equity]])/Tabla33610673[[#This Row],[Equity Peak]],"")</f>
        <v>0.11747986736144007</v>
      </c>
      <c r="V747" s="187">
        <f t="shared" si="216"/>
        <v>0</v>
      </c>
      <c r="W747" s="187">
        <f t="shared" si="217"/>
        <v>0</v>
      </c>
      <c r="X747" s="187">
        <f t="shared" si="218"/>
        <v>0</v>
      </c>
      <c r="Y747" s="187">
        <f t="shared" si="219"/>
        <v>0</v>
      </c>
      <c r="Z747" s="187">
        <f t="shared" si="220"/>
        <v>-1</v>
      </c>
      <c r="AA747" s="183">
        <f t="shared" si="221"/>
        <v>0</v>
      </c>
      <c r="AB747" s="187">
        <f t="shared" si="222"/>
        <v>0</v>
      </c>
      <c r="AC747" s="183">
        <f t="shared" si="223"/>
        <v>0</v>
      </c>
      <c r="AD747" s="188">
        <f t="shared" si="224"/>
        <v>0.12916666666569654</v>
      </c>
      <c r="AE747" s="188">
        <f t="shared" si="225"/>
        <v>0</v>
      </c>
      <c r="AF747" s="188">
        <f t="shared" si="226"/>
        <v>0.12916666666569654</v>
      </c>
      <c r="AG747" s="188">
        <f t="shared" si="227"/>
        <v>0</v>
      </c>
    </row>
    <row r="748" spans="2:33" ht="15" customHeight="1" x14ac:dyDescent="0.15">
      <c r="B748" s="174" t="s">
        <v>5</v>
      </c>
      <c r="C748" s="175" t="s">
        <v>13</v>
      </c>
      <c r="D748" s="176" t="str">
        <f t="shared" si="209"/>
        <v>C</v>
      </c>
      <c r="E748" s="177" t="d">
        <v>2021-01-15T17:15:00.000</v>
      </c>
      <c r="F748" s="178" t="s">
        <v>82</v>
      </c>
      <c r="G748" s="179">
        <v>3762.26</v>
      </c>
      <c r="H748" s="179">
        <v>3779.42</v>
      </c>
      <c r="I748" s="180">
        <f t="shared" si="210"/>
        <v>17.159999999999854</v>
      </c>
      <c r="J748" s="179">
        <v>3650.7</v>
      </c>
      <c r="K748" s="177" t="d">
        <v>2021-01-15T18:24:00.00000029336660775</v>
      </c>
      <c r="L748" s="179">
        <v>3774.08</v>
      </c>
      <c r="M748" s="181">
        <f t="shared" si="211"/>
        <v>-11.82</v>
      </c>
      <c r="N748" s="182">
        <f t="shared" si="212"/>
        <v>-0.69</v>
      </c>
      <c r="O748" s="183">
        <f t="shared" si="213"/>
        <v>0</v>
      </c>
      <c r="P748" s="184">
        <f t="shared" si="214"/>
        <v>0</v>
      </c>
      <c r="Q748" s="184">
        <f t="shared" si="215"/>
        <v>-0.69</v>
      </c>
      <c r="R74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23537.5</v>
      </c>
      <c r="T74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48" s="186">
        <f ca="1">IF(Tabla33610673[[#This Row],[Equity]]&lt;Tabla33610673[[#This Row],[Equity Peak]],(Tabla33610673[[#This Row],[Equity Peak]]-Tabla33610673[[#This Row],[Equity]])/Tabla33610673[[#This Row],[Equity Peak]],"")</f>
        <v>0.10800568450971104</v>
      </c>
      <c r="V748" s="187">
        <f t="shared" si="216"/>
        <v>0</v>
      </c>
      <c r="W748" s="187">
        <f t="shared" si="217"/>
        <v>0</v>
      </c>
      <c r="X748" s="187">
        <f t="shared" si="218"/>
        <v>0</v>
      </c>
      <c r="Y748" s="187">
        <f t="shared" si="219"/>
        <v>0</v>
      </c>
      <c r="Z748" s="187">
        <f t="shared" si="220"/>
        <v>-0.69</v>
      </c>
      <c r="AA748" s="183">
        <f t="shared" si="221"/>
        <v>0</v>
      </c>
      <c r="AB748" s="187">
        <f t="shared" si="222"/>
        <v>0</v>
      </c>
      <c r="AC748" s="183">
        <f t="shared" si="223"/>
        <v>0</v>
      </c>
      <c r="AD748" s="188">
        <f t="shared" si="224"/>
        <v>4.7916666670062114E-2</v>
      </c>
      <c r="AE748" s="188">
        <f t="shared" si="225"/>
        <v>0</v>
      </c>
      <c r="AF748" s="188">
        <f t="shared" si="226"/>
        <v>4.7916666670062114E-2</v>
      </c>
      <c r="AG748" s="188">
        <f t="shared" si="227"/>
        <v>0</v>
      </c>
    </row>
    <row r="749" spans="2:33" ht="15" customHeight="1" x14ac:dyDescent="0.15">
      <c r="B749" s="174" t="s">
        <v>5</v>
      </c>
      <c r="C749" s="175" t="s">
        <v>13</v>
      </c>
      <c r="D749" s="176" t="str">
        <f t="shared" si="209"/>
        <v>C</v>
      </c>
      <c r="E749" s="177" t="d">
        <v>2021-01-15T03:14:59.99999979045242400</v>
      </c>
      <c r="F749" s="178" t="s">
        <v>82</v>
      </c>
      <c r="G749" s="179">
        <v>3789.71</v>
      </c>
      <c r="H749" s="179">
        <v>3807.56</v>
      </c>
      <c r="I749" s="180">
        <f t="shared" si="210"/>
        <v>17.849999999999909</v>
      </c>
      <c r="J749" s="179">
        <v>3673.66</v>
      </c>
      <c r="K749" s="177" t="d">
        <v>2021-01-15T10:08:00.000000097788870375</v>
      </c>
      <c r="L749" s="179">
        <v>3789.81</v>
      </c>
      <c r="M749" s="181">
        <f t="shared" si="211"/>
        <v>-0.1</v>
      </c>
      <c r="N749" s="182">
        <f t="shared" si="212"/>
        <v>-0.01</v>
      </c>
      <c r="O749" s="183">
        <f t="shared" si="213"/>
        <v>0</v>
      </c>
      <c r="P749" s="184">
        <f t="shared" si="214"/>
        <v>0</v>
      </c>
      <c r="Q749" s="184">
        <f t="shared" si="215"/>
        <v>-0.01</v>
      </c>
      <c r="R74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23710</v>
      </c>
      <c r="T74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49" s="186">
        <f ca="1">IF(Tabla33610673[[#This Row],[Equity]]&lt;Tabla33610673[[#This Row],[Equity Peak]],(Tabla33610673[[#This Row],[Equity Peak]]-Tabla33610673[[#This Row],[Equity]])/Tabla33610673[[#This Row],[Equity Peak]],"")</f>
        <v>0.101468498342018</v>
      </c>
      <c r="V749" s="187">
        <f t="shared" si="216"/>
        <v>0</v>
      </c>
      <c r="W749" s="187">
        <f t="shared" si="217"/>
        <v>0</v>
      </c>
      <c r="X749" s="187">
        <f t="shared" si="218"/>
        <v>0</v>
      </c>
      <c r="Y749" s="187">
        <f t="shared" si="219"/>
        <v>0</v>
      </c>
      <c r="Z749" s="187">
        <f t="shared" si="220"/>
        <v>-0.01</v>
      </c>
      <c r="AA749" s="183">
        <f t="shared" si="221"/>
        <v>0</v>
      </c>
      <c r="AB749" s="187">
        <f t="shared" si="222"/>
        <v>0</v>
      </c>
      <c r="AC749" s="183">
        <f t="shared" si="223"/>
        <v>0</v>
      </c>
      <c r="AD749" s="188">
        <f t="shared" si="224"/>
        <v>0.28680555555911269</v>
      </c>
      <c r="AE749" s="188">
        <f t="shared" si="225"/>
        <v>0</v>
      </c>
      <c r="AF749" s="188">
        <f t="shared" si="226"/>
        <v>0.28680555555911269</v>
      </c>
      <c r="AG749" s="188">
        <f t="shared" si="227"/>
        <v>0</v>
      </c>
    </row>
    <row r="750" spans="2:33" ht="15" customHeight="1" x14ac:dyDescent="0.15">
      <c r="B750" s="174" t="s">
        <v>5</v>
      </c>
      <c r="C750" s="175" t="s">
        <v>15</v>
      </c>
      <c r="D750" s="176" t="str">
        <f t="shared" si="209"/>
        <v>C</v>
      </c>
      <c r="E750" s="177" t="d">
        <v>2021-01-13T20:00:00.00000020954757600</v>
      </c>
      <c r="F750" s="178" t="s">
        <v>82</v>
      </c>
      <c r="G750" s="179">
        <v>3813.99</v>
      </c>
      <c r="H750" s="179">
        <v>3794.96</v>
      </c>
      <c r="I750" s="180">
        <f t="shared" si="210"/>
        <v>19.029999999999745</v>
      </c>
      <c r="J750" s="179">
        <v>3937.67</v>
      </c>
      <c r="K750" s="177" t="d">
        <v>2021-01-14T22:09:00.00000029336660775</v>
      </c>
      <c r="L750" s="179">
        <v>3804.88</v>
      </c>
      <c r="M750" s="181">
        <f t="shared" si="211"/>
        <v>-9.11</v>
      </c>
      <c r="N750" s="182">
        <f t="shared" si="212"/>
        <v>-0.48</v>
      </c>
      <c r="O750" s="183">
        <f t="shared" si="213"/>
        <v>0</v>
      </c>
      <c r="P750" s="184">
        <f t="shared" si="214"/>
        <v>0</v>
      </c>
      <c r="Q750" s="184">
        <f t="shared" si="215"/>
        <v>-0.48</v>
      </c>
      <c r="R75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23712.5</v>
      </c>
      <c r="T75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50" s="186">
        <f ca="1">IF(Tabla33610673[[#This Row],[Equity]]&lt;Tabla33610673[[#This Row],[Equity Peak]],(Tabla33610673[[#This Row],[Equity Peak]]-Tabla33610673[[#This Row],[Equity]])/Tabla33610673[[#This Row],[Equity Peak]],"")</f>
        <v>0.10137375651350071</v>
      </c>
      <c r="V750" s="187">
        <f t="shared" si="216"/>
        <v>0</v>
      </c>
      <c r="W750" s="187">
        <f t="shared" si="217"/>
        <v>0</v>
      </c>
      <c r="X750" s="187">
        <f t="shared" si="218"/>
        <v>0</v>
      </c>
      <c r="Y750" s="187">
        <f t="shared" si="219"/>
        <v>0</v>
      </c>
      <c r="Z750" s="187">
        <f t="shared" si="220"/>
        <v>-0.48</v>
      </c>
      <c r="AA750" s="183">
        <f t="shared" si="221"/>
        <v>0</v>
      </c>
      <c r="AB750" s="187">
        <f t="shared" si="222"/>
        <v>0</v>
      </c>
      <c r="AC750" s="183">
        <f t="shared" si="223"/>
        <v>0</v>
      </c>
      <c r="AD750" s="188">
        <f t="shared" si="224"/>
        <v>1.0895833333343035</v>
      </c>
      <c r="AE750" s="188">
        <f t="shared" si="225"/>
        <v>0</v>
      </c>
      <c r="AF750" s="188">
        <f t="shared" si="226"/>
        <v>1.0895833333343035</v>
      </c>
      <c r="AG750" s="188">
        <f t="shared" si="227"/>
        <v>0</v>
      </c>
    </row>
    <row r="751" spans="2:33" ht="15" customHeight="1" x14ac:dyDescent="0.15">
      <c r="B751" s="174" t="s">
        <v>19</v>
      </c>
      <c r="C751" s="175" t="s">
        <v>15</v>
      </c>
      <c r="D751" s="176" t="str">
        <f t="shared" si="209"/>
        <v>C</v>
      </c>
      <c r="E751" s="177" t="d">
        <v>2021-01-14T20:00:00.00000020954757600</v>
      </c>
      <c r="F751" s="178" t="s">
        <v>77</v>
      </c>
      <c r="G751" s="179">
        <v>1855.49</v>
      </c>
      <c r="H751" s="179">
        <v>1846.53</v>
      </c>
      <c r="I751" s="180">
        <f t="shared" si="210"/>
        <v>8.9600000000000364</v>
      </c>
      <c r="J751" s="179">
        <v>1898.5</v>
      </c>
      <c r="K751" s="177" t="d">
        <v>2021-01-14T21:24:00.00000029336660775</v>
      </c>
      <c r="L751" s="179">
        <v>1846.53</v>
      </c>
      <c r="M751" s="181">
        <f t="shared" si="211"/>
        <v>-8.9600000000000009</v>
      </c>
      <c r="N751" s="182">
        <f t="shared" si="212"/>
        <v>-1</v>
      </c>
      <c r="O751" s="183">
        <f t="shared" si="213"/>
        <v>0</v>
      </c>
      <c r="P751" s="184">
        <f t="shared" si="214"/>
        <v>0</v>
      </c>
      <c r="Q751" s="184">
        <f t="shared" si="215"/>
        <v>-1</v>
      </c>
      <c r="R75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23832.5</v>
      </c>
      <c r="T75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51" s="186">
        <f ca="1">IF(Tabla33610673[[#This Row],[Equity]]&lt;Tabla33610673[[#This Row],[Equity Peak]],(Tabla33610673[[#This Row],[Equity Peak]]-Tabla33610673[[#This Row],[Equity]])/Tabla33610673[[#This Row],[Equity Peak]],"")</f>
        <v>9.682614874467077E-2</v>
      </c>
      <c r="V751" s="187">
        <f t="shared" si="216"/>
        <v>0</v>
      </c>
      <c r="W751" s="187">
        <f t="shared" si="217"/>
        <v>0</v>
      </c>
      <c r="X751" s="187">
        <f t="shared" si="218"/>
        <v>-1</v>
      </c>
      <c r="Y751" s="187">
        <f t="shared" si="219"/>
        <v>0</v>
      </c>
      <c r="Z751" s="187">
        <f t="shared" si="220"/>
        <v>0</v>
      </c>
      <c r="AA751" s="183">
        <f t="shared" si="221"/>
        <v>0</v>
      </c>
      <c r="AB751" s="187">
        <f t="shared" si="222"/>
        <v>0</v>
      </c>
      <c r="AC751" s="183">
        <f t="shared" si="223"/>
        <v>0</v>
      </c>
      <c r="AD751" s="188">
        <f t="shared" si="224"/>
        <v>5.8333333334303461E-2</v>
      </c>
      <c r="AE751" s="188">
        <f t="shared" si="225"/>
        <v>0</v>
      </c>
      <c r="AF751" s="188">
        <f t="shared" si="226"/>
        <v>5.8333333334303461E-2</v>
      </c>
      <c r="AG751" s="188">
        <f t="shared" si="227"/>
        <v>0</v>
      </c>
    </row>
    <row r="752" spans="2:33" ht="15" customHeight="1" x14ac:dyDescent="0.15">
      <c r="B752" s="174" t="s">
        <v>5</v>
      </c>
      <c r="C752" s="175" t="s">
        <v>15</v>
      </c>
      <c r="D752" s="176" t="str">
        <f t="shared" si="209"/>
        <v>C</v>
      </c>
      <c r="E752" s="177" t="d">
        <v>2021-01-13T18:00:00.000</v>
      </c>
      <c r="F752" s="178" t="s">
        <v>81</v>
      </c>
      <c r="G752" s="179">
        <v>12982.7</v>
      </c>
      <c r="H752" s="179">
        <v>12928.38</v>
      </c>
      <c r="I752" s="180">
        <f t="shared" si="210"/>
        <v>54.320000000001528</v>
      </c>
      <c r="J752" s="179">
        <v>13308.64</v>
      </c>
      <c r="K752" s="177" t="d">
        <v>2021-01-14T05:39:00.00000029336660775</v>
      </c>
      <c r="L752" s="179">
        <v>12941.19</v>
      </c>
      <c r="M752" s="181">
        <f t="shared" si="211"/>
        <v>-41.51</v>
      </c>
      <c r="N752" s="182">
        <f t="shared" si="212"/>
        <v>-0.76</v>
      </c>
      <c r="O752" s="183">
        <f t="shared" si="213"/>
        <v>0</v>
      </c>
      <c r="P752" s="184">
        <f t="shared" si="214"/>
        <v>0</v>
      </c>
      <c r="Q752" s="184">
        <f t="shared" si="215"/>
        <v>-0.76</v>
      </c>
      <c r="R75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24082.5</v>
      </c>
      <c r="T75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52" s="186">
        <f ca="1">IF(Tabla33610673[[#This Row],[Equity]]&lt;Tabla33610673[[#This Row],[Equity Peak]],(Tabla33610673[[#This Row],[Equity Peak]]-Tabla33610673[[#This Row],[Equity]])/Tabla33610673[[#This Row],[Equity Peak]],"")</f>
        <v>8.7351965892941738E-2</v>
      </c>
      <c r="V752" s="187">
        <f t="shared" si="216"/>
        <v>0</v>
      </c>
      <c r="W752" s="187">
        <f t="shared" si="217"/>
        <v>0</v>
      </c>
      <c r="X752" s="187">
        <f t="shared" si="218"/>
        <v>0</v>
      </c>
      <c r="Y752" s="187">
        <f t="shared" si="219"/>
        <v>0</v>
      </c>
      <c r="Z752" s="187">
        <f t="shared" si="220"/>
        <v>-0.76</v>
      </c>
      <c r="AA752" s="183">
        <f t="shared" si="221"/>
        <v>0</v>
      </c>
      <c r="AB752" s="187">
        <f t="shared" si="222"/>
        <v>0</v>
      </c>
      <c r="AC752" s="183">
        <f t="shared" si="223"/>
        <v>0</v>
      </c>
      <c r="AD752" s="188">
        <f t="shared" si="224"/>
        <v>0.48541666667006211</v>
      </c>
      <c r="AE752" s="188">
        <f t="shared" si="225"/>
        <v>0</v>
      </c>
      <c r="AF752" s="188">
        <f t="shared" si="226"/>
        <v>0.48541666667006211</v>
      </c>
      <c r="AG752" s="188">
        <f t="shared" si="227"/>
        <v>0</v>
      </c>
    </row>
    <row r="753" spans="2:33" ht="15" customHeight="1" x14ac:dyDescent="0.15">
      <c r="B753" s="174" t="s">
        <v>5</v>
      </c>
      <c r="C753" s="175" t="s">
        <v>15</v>
      </c>
      <c r="D753" s="176" t="str">
        <f t="shared" si="209"/>
        <v>C</v>
      </c>
      <c r="E753" s="177" t="d">
        <v>2021-01-13T06:00:00.000</v>
      </c>
      <c r="F753" s="178" t="s">
        <v>82</v>
      </c>
      <c r="G753" s="179">
        <v>3813.18</v>
      </c>
      <c r="H753" s="179">
        <v>3792.95</v>
      </c>
      <c r="I753" s="180">
        <f t="shared" si="210"/>
        <v>20.230000000000018</v>
      </c>
      <c r="J753" s="179">
        <v>3944.69</v>
      </c>
      <c r="K753" s="177" t="d">
        <v>2021-01-13T13:30:00.000</v>
      </c>
      <c r="L753" s="179">
        <v>3792.95</v>
      </c>
      <c r="M753" s="181">
        <f t="shared" si="211"/>
        <v>-20.23</v>
      </c>
      <c r="N753" s="182">
        <f t="shared" si="212"/>
        <v>-1</v>
      </c>
      <c r="O753" s="183">
        <f t="shared" si="213"/>
        <v>0</v>
      </c>
      <c r="P753" s="184">
        <f t="shared" si="214"/>
        <v>0</v>
      </c>
      <c r="Q753" s="184">
        <f t="shared" si="215"/>
        <v>-1</v>
      </c>
      <c r="R75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24272.5</v>
      </c>
      <c r="T75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53" s="186">
        <f ca="1">IF(Tabla33610673[[#This Row],[Equity]]&lt;Tabla33610673[[#This Row],[Equity Peak]],(Tabla33610673[[#This Row],[Equity Peak]]-Tabla33610673[[#This Row],[Equity]])/Tabla33610673[[#This Row],[Equity Peak]],"")</f>
        <v>8.0151586925627669E-2</v>
      </c>
      <c r="V753" s="187">
        <f t="shared" si="216"/>
        <v>0</v>
      </c>
      <c r="W753" s="187">
        <f t="shared" si="217"/>
        <v>0</v>
      </c>
      <c r="X753" s="187">
        <f t="shared" si="218"/>
        <v>0</v>
      </c>
      <c r="Y753" s="187">
        <f t="shared" si="219"/>
        <v>0</v>
      </c>
      <c r="Z753" s="187">
        <f t="shared" si="220"/>
        <v>-1</v>
      </c>
      <c r="AA753" s="183">
        <f t="shared" si="221"/>
        <v>0</v>
      </c>
      <c r="AB753" s="187">
        <f t="shared" si="222"/>
        <v>0</v>
      </c>
      <c r="AC753" s="183">
        <f t="shared" si="223"/>
        <v>0</v>
      </c>
      <c r="AD753" s="188">
        <f t="shared" si="224"/>
        <v>0.3125</v>
      </c>
      <c r="AE753" s="188">
        <f t="shared" si="225"/>
        <v>0</v>
      </c>
      <c r="AF753" s="188">
        <f t="shared" si="226"/>
        <v>0.3125</v>
      </c>
      <c r="AG753" s="188">
        <f t="shared" si="227"/>
        <v>0</v>
      </c>
    </row>
    <row r="754" spans="2:33" ht="15" customHeight="1" x14ac:dyDescent="0.15">
      <c r="B754" s="174" t="s">
        <v>19</v>
      </c>
      <c r="C754" s="175" t="s">
        <v>15</v>
      </c>
      <c r="D754" s="176" t="str">
        <f t="shared" si="209"/>
        <v>C</v>
      </c>
      <c r="E754" s="177" t="d">
        <v>2021-01-13T03:45:00.000</v>
      </c>
      <c r="F754" s="178" t="s">
        <v>77</v>
      </c>
      <c r="G754" s="179">
        <v>1862.21</v>
      </c>
      <c r="H754" s="179">
        <v>1852.8</v>
      </c>
      <c r="I754" s="180">
        <f t="shared" si="210"/>
        <v>9.4100000000000819</v>
      </c>
      <c r="J754" s="179">
        <v>1907.36</v>
      </c>
      <c r="K754" s="177" t="d">
        <v>2021-01-13T11:06:59.99999969266355025</v>
      </c>
      <c r="L754" s="179">
        <v>1852.8</v>
      </c>
      <c r="M754" s="181">
        <f t="shared" si="211"/>
        <v>-9.41</v>
      </c>
      <c r="N754" s="182">
        <f t="shared" si="212"/>
        <v>-1</v>
      </c>
      <c r="O754" s="183">
        <f t="shared" si="213"/>
        <v>0</v>
      </c>
      <c r="P754" s="184">
        <f t="shared" si="214"/>
        <v>0</v>
      </c>
      <c r="Q754" s="184">
        <f t="shared" si="215"/>
        <v>-1</v>
      </c>
      <c r="R75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24522.5</v>
      </c>
      <c r="T75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54" s="186">
        <f ca="1">IF(Tabla33610673[[#This Row],[Equity]]&lt;Tabla33610673[[#This Row],[Equity Peak]],(Tabla33610673[[#This Row],[Equity Peak]]-Tabla33610673[[#This Row],[Equity]])/Tabla33610673[[#This Row],[Equity Peak]],"")</f>
        <v>7.0677404073898623E-2</v>
      </c>
      <c r="V754" s="187">
        <f t="shared" si="216"/>
        <v>0</v>
      </c>
      <c r="W754" s="187">
        <f t="shared" si="217"/>
        <v>0</v>
      </c>
      <c r="X754" s="187">
        <f t="shared" si="218"/>
        <v>-1</v>
      </c>
      <c r="Y754" s="187">
        <f t="shared" si="219"/>
        <v>0</v>
      </c>
      <c r="Z754" s="187">
        <f t="shared" si="220"/>
        <v>0</v>
      </c>
      <c r="AA754" s="183">
        <f t="shared" si="221"/>
        <v>0</v>
      </c>
      <c r="AB754" s="187">
        <f t="shared" si="222"/>
        <v>0</v>
      </c>
      <c r="AC754" s="183">
        <f t="shared" si="223"/>
        <v>0</v>
      </c>
      <c r="AD754" s="188">
        <f t="shared" si="224"/>
        <v>0.30694444444088731</v>
      </c>
      <c r="AE754" s="188">
        <f t="shared" si="225"/>
        <v>0</v>
      </c>
      <c r="AF754" s="188">
        <f t="shared" si="226"/>
        <v>0.30694444444088731</v>
      </c>
      <c r="AG754" s="188">
        <f t="shared" si="227"/>
        <v>0</v>
      </c>
    </row>
    <row r="755" spans="2:33" ht="15" customHeight="1" x14ac:dyDescent="0.15">
      <c r="B755" s="174" t="s">
        <v>7</v>
      </c>
      <c r="C755" s="175" t="s">
        <v>15</v>
      </c>
      <c r="D755" s="176" t="str">
        <f t="shared" si="209"/>
        <v>C</v>
      </c>
      <c r="E755" s="177" t="d">
        <v>2021-01-12T11:29:59.99999979045242400</v>
      </c>
      <c r="F755" s="178" t="s">
        <v>102</v>
      </c>
      <c r="G755" s="179">
        <v>141.61500000000001</v>
      </c>
      <c r="H755" s="179">
        <v>141.34100000000001</v>
      </c>
      <c r="I755" s="180">
        <f t="shared" si="210"/>
        <v>0.27400000000000091</v>
      </c>
      <c r="J755" s="179">
        <v>143.07499999999999</v>
      </c>
      <c r="K755" s="177" t="d">
        <v>2021-01-13T03:08:59.99999987427145575</v>
      </c>
      <c r="L755" s="179">
        <v>141.625</v>
      </c>
      <c r="M755" s="181">
        <f t="shared" si="211"/>
        <v>0.01</v>
      </c>
      <c r="N755" s="182">
        <f t="shared" si="212"/>
        <v>0.04</v>
      </c>
      <c r="O755" s="183">
        <f t="shared" si="213"/>
        <v>0</v>
      </c>
      <c r="P755" s="184">
        <f t="shared" si="214"/>
        <v>0.04</v>
      </c>
      <c r="Q755" s="184">
        <f t="shared" si="215"/>
        <v>0</v>
      </c>
      <c r="R75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24772.5</v>
      </c>
      <c r="T75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55" s="186">
        <f ca="1">IF(Tabla33610673[[#This Row],[Equity]]&lt;Tabla33610673[[#This Row],[Equity Peak]],(Tabla33610673[[#This Row],[Equity Peak]]-Tabla33610673[[#This Row],[Equity]])/Tabla33610673[[#This Row],[Equity Peak]],"")</f>
        <v>6.120322122216959E-2</v>
      </c>
      <c r="V755" s="187">
        <f t="shared" si="216"/>
        <v>0.04</v>
      </c>
      <c r="W755" s="187">
        <f t="shared" si="217"/>
        <v>0</v>
      </c>
      <c r="X755" s="187">
        <f t="shared" si="218"/>
        <v>0</v>
      </c>
      <c r="Y755" s="187">
        <f t="shared" si="219"/>
        <v>0</v>
      </c>
      <c r="Z755" s="187">
        <f t="shared" si="220"/>
        <v>0</v>
      </c>
      <c r="AA755" s="183">
        <f t="shared" si="221"/>
        <v>0</v>
      </c>
      <c r="AB755" s="187">
        <f t="shared" si="222"/>
        <v>0</v>
      </c>
      <c r="AC755" s="183">
        <f t="shared" si="223"/>
        <v>0</v>
      </c>
      <c r="AD755" s="188">
        <f t="shared" si="224"/>
        <v>0.65208333333430346</v>
      </c>
      <c r="AE755" s="188">
        <f t="shared" si="225"/>
        <v>0.65208333333430346</v>
      </c>
      <c r="AF755" s="188">
        <f t="shared" si="226"/>
        <v>0</v>
      </c>
      <c r="AG755" s="188">
        <f t="shared" si="227"/>
        <v>0</v>
      </c>
    </row>
    <row r="756" spans="2:33" ht="15" customHeight="1" x14ac:dyDescent="0.15">
      <c r="B756" s="174" t="s">
        <v>5</v>
      </c>
      <c r="C756" s="175" t="s">
        <v>15</v>
      </c>
      <c r="D756" s="176" t="str">
        <f t="shared" si="209"/>
        <v>C</v>
      </c>
      <c r="E756" s="177" t="d">
        <v>2021-01-11T19:44:59.99999979045242400</v>
      </c>
      <c r="F756" s="178" t="s">
        <v>82</v>
      </c>
      <c r="G756" s="179">
        <v>3816.25</v>
      </c>
      <c r="H756" s="179">
        <v>3791.62</v>
      </c>
      <c r="I756" s="180">
        <f t="shared" si="210"/>
        <v>24.630000000000109</v>
      </c>
      <c r="J756" s="179">
        <v>3976.33</v>
      </c>
      <c r="K756" s="177" t="d">
        <v>2021-01-12T16:45:59.99999998603016475</v>
      </c>
      <c r="L756" s="179">
        <v>3792.36</v>
      </c>
      <c r="M756" s="181">
        <f t="shared" si="211"/>
        <v>-23.89</v>
      </c>
      <c r="N756" s="182">
        <f t="shared" si="212"/>
        <v>-0.97</v>
      </c>
      <c r="O756" s="183">
        <f t="shared" si="213"/>
        <v>0</v>
      </c>
      <c r="P756" s="184">
        <f t="shared" si="214"/>
        <v>0</v>
      </c>
      <c r="Q756" s="184">
        <f t="shared" si="215"/>
        <v>-0.97</v>
      </c>
      <c r="R75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24762.5</v>
      </c>
      <c r="T75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56" s="186">
        <f ca="1">IF(Tabla33610673[[#This Row],[Equity]]&lt;Tabla33610673[[#This Row],[Equity Peak]],(Tabla33610673[[#This Row],[Equity Peak]]-Tabla33610673[[#This Row],[Equity]])/Tabla33610673[[#This Row],[Equity Peak]],"")</f>
        <v>6.1582188536238751E-2</v>
      </c>
      <c r="V756" s="187">
        <f t="shared" si="216"/>
        <v>0</v>
      </c>
      <c r="W756" s="187">
        <f t="shared" si="217"/>
        <v>0</v>
      </c>
      <c r="X756" s="187">
        <f t="shared" si="218"/>
        <v>0</v>
      </c>
      <c r="Y756" s="187">
        <f t="shared" si="219"/>
        <v>0</v>
      </c>
      <c r="Z756" s="187">
        <f t="shared" si="220"/>
        <v>-0.97</v>
      </c>
      <c r="AA756" s="183">
        <f t="shared" si="221"/>
        <v>0</v>
      </c>
      <c r="AB756" s="187">
        <f t="shared" si="222"/>
        <v>0</v>
      </c>
      <c r="AC756" s="183">
        <f t="shared" si="223"/>
        <v>0</v>
      </c>
      <c r="AD756" s="188">
        <f t="shared" si="224"/>
        <v>0.87569444444670808</v>
      </c>
      <c r="AE756" s="188">
        <f t="shared" si="225"/>
        <v>0</v>
      </c>
      <c r="AF756" s="188">
        <f t="shared" si="226"/>
        <v>0.87569444444670808</v>
      </c>
      <c r="AG756" s="188">
        <f t="shared" si="227"/>
        <v>0</v>
      </c>
    </row>
    <row r="757" spans="2:33" ht="15" customHeight="1" x14ac:dyDescent="0.15">
      <c r="B757" s="174" t="s">
        <v>19</v>
      </c>
      <c r="C757" s="175" t="s">
        <v>15</v>
      </c>
      <c r="D757" s="176" t="str">
        <f t="shared" si="209"/>
        <v>C</v>
      </c>
      <c r="E757" s="177" t="d">
        <v>2021-01-12T12:00:00.000</v>
      </c>
      <c r="F757" s="178" t="s">
        <v>77</v>
      </c>
      <c r="G757" s="179">
        <v>1862.88</v>
      </c>
      <c r="H757" s="179">
        <v>1853.57</v>
      </c>
      <c r="I757" s="180">
        <f t="shared" si="210"/>
        <v>9.3100000000001728</v>
      </c>
      <c r="J757" s="179">
        <v>1907.56</v>
      </c>
      <c r="K757" s="177" t="d">
        <v>2021-01-12T15:20:59.99999970663339225</v>
      </c>
      <c r="L757" s="179">
        <v>1853.57</v>
      </c>
      <c r="M757" s="181">
        <f t="shared" si="211"/>
        <v>-9.31</v>
      </c>
      <c r="N757" s="182">
        <f t="shared" si="212"/>
        <v>-1</v>
      </c>
      <c r="O757" s="183">
        <f t="shared" si="213"/>
        <v>0</v>
      </c>
      <c r="P757" s="184">
        <f t="shared" si="214"/>
        <v>0</v>
      </c>
      <c r="Q757" s="184">
        <f t="shared" si="215"/>
        <v>-1</v>
      </c>
      <c r="R75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25005</v>
      </c>
      <c r="T75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57" s="186">
        <f ca="1">IF(Tabla33610673[[#This Row],[Equity]]&lt;Tabla33610673[[#This Row],[Equity Peak]],(Tabla33610673[[#This Row],[Equity Peak]]-Tabla33610673[[#This Row],[Equity]])/Tabla33610673[[#This Row],[Equity Peak]],"")</f>
        <v>5.239223117006158E-2</v>
      </c>
      <c r="V757" s="187">
        <f t="shared" si="216"/>
        <v>0</v>
      </c>
      <c r="W757" s="187">
        <f t="shared" si="217"/>
        <v>0</v>
      </c>
      <c r="X757" s="187">
        <f t="shared" si="218"/>
        <v>-1</v>
      </c>
      <c r="Y757" s="187">
        <f t="shared" si="219"/>
        <v>0</v>
      </c>
      <c r="Z757" s="187">
        <f t="shared" si="220"/>
        <v>0</v>
      </c>
      <c r="AA757" s="183">
        <f t="shared" si="221"/>
        <v>0</v>
      </c>
      <c r="AB757" s="187">
        <f t="shared" si="222"/>
        <v>0</v>
      </c>
      <c r="AC757" s="183">
        <f t="shared" si="223"/>
        <v>0</v>
      </c>
      <c r="AD757" s="188">
        <f t="shared" si="224"/>
        <v>0.13958333332993789</v>
      </c>
      <c r="AE757" s="188">
        <f t="shared" si="225"/>
        <v>0</v>
      </c>
      <c r="AF757" s="188">
        <f t="shared" si="226"/>
        <v>0.13958333332993789</v>
      </c>
      <c r="AG757" s="188">
        <f t="shared" si="227"/>
        <v>0</v>
      </c>
    </row>
    <row r="758" spans="2:33" ht="15" customHeight="1" x14ac:dyDescent="0.15">
      <c r="B758" s="174" t="s">
        <v>7</v>
      </c>
      <c r="C758" s="175" t="s">
        <v>15</v>
      </c>
      <c r="D758" s="176" t="str">
        <f t="shared" si="209"/>
        <v>C</v>
      </c>
      <c r="E758" s="177" t="d">
        <v>2021-01-11T03:14:59.99999979045242400</v>
      </c>
      <c r="F758" s="178" t="s">
        <v>103</v>
      </c>
      <c r="G758" s="179">
        <v>104.15300000000001</v>
      </c>
      <c r="H758" s="179">
        <v>103.94</v>
      </c>
      <c r="I758" s="180">
        <f t="shared" si="210"/>
        <v>0.21300000000000807</v>
      </c>
      <c r="J758" s="179">
        <v>105.492</v>
      </c>
      <c r="K758" s="177" t="d">
        <v>2021-01-11T19:09:00.00000029336660775</v>
      </c>
      <c r="L758" s="179">
        <v>104.095</v>
      </c>
      <c r="M758" s="181">
        <f t="shared" si="211"/>
        <v>-5.8000000000000003E-2</v>
      </c>
      <c r="N758" s="182">
        <f t="shared" si="212"/>
        <v>-0.27</v>
      </c>
      <c r="O758" s="183">
        <f t="shared" si="213"/>
        <v>0</v>
      </c>
      <c r="P758" s="184">
        <f t="shared" si="214"/>
        <v>0</v>
      </c>
      <c r="Q758" s="184">
        <f t="shared" si="215"/>
        <v>-0.27</v>
      </c>
      <c r="R75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25255</v>
      </c>
      <c r="T75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58" s="186">
        <f ca="1">IF(Tabla33610673[[#This Row],[Equity]]&lt;Tabla33610673[[#This Row],[Equity Peak]],(Tabla33610673[[#This Row],[Equity Peak]]-Tabla33610673[[#This Row],[Equity]])/Tabla33610673[[#This Row],[Equity Peak]],"")</f>
        <v>4.2918048318332541E-2</v>
      </c>
      <c r="V758" s="187">
        <f t="shared" si="216"/>
        <v>-0.27</v>
      </c>
      <c r="W758" s="187">
        <f t="shared" si="217"/>
        <v>0</v>
      </c>
      <c r="X758" s="187">
        <f t="shared" si="218"/>
        <v>0</v>
      </c>
      <c r="Y758" s="187">
        <f t="shared" si="219"/>
        <v>0</v>
      </c>
      <c r="Z758" s="187">
        <f t="shared" si="220"/>
        <v>0</v>
      </c>
      <c r="AA758" s="183">
        <f t="shared" si="221"/>
        <v>0</v>
      </c>
      <c r="AB758" s="187">
        <f t="shared" si="222"/>
        <v>0</v>
      </c>
      <c r="AC758" s="183">
        <f t="shared" si="223"/>
        <v>0</v>
      </c>
      <c r="AD758" s="188">
        <f t="shared" si="224"/>
        <v>0.66250000000582077</v>
      </c>
      <c r="AE758" s="188">
        <f t="shared" si="225"/>
        <v>0</v>
      </c>
      <c r="AF758" s="188">
        <f t="shared" si="226"/>
        <v>0.66250000000582077</v>
      </c>
      <c r="AG758" s="188">
        <f t="shared" si="227"/>
        <v>0</v>
      </c>
    </row>
    <row r="759" spans="2:33" ht="15" customHeight="1" x14ac:dyDescent="0.15">
      <c r="B759" s="174" t="s">
        <v>5</v>
      </c>
      <c r="C759" s="175" t="s">
        <v>15</v>
      </c>
      <c r="D759" s="176" t="str">
        <f t="shared" si="209"/>
        <v>C</v>
      </c>
      <c r="E759" s="177" t="d">
        <v>2021-01-08T23:15:00.000</v>
      </c>
      <c r="F759" s="178" t="s">
        <v>82</v>
      </c>
      <c r="G759" s="179">
        <v>3830.55</v>
      </c>
      <c r="H759" s="179">
        <v>3804.46</v>
      </c>
      <c r="I759" s="180">
        <f t="shared" si="210"/>
        <v>26.090000000000146</v>
      </c>
      <c r="J759" s="179">
        <v>4000.13</v>
      </c>
      <c r="K759" s="177" t="d">
        <v>2021-01-11T04:05:59.99999970663339225</v>
      </c>
      <c r="L759" s="179">
        <v>3804.46</v>
      </c>
      <c r="M759" s="181">
        <f t="shared" si="211"/>
        <v>-26.09</v>
      </c>
      <c r="N759" s="182">
        <f t="shared" si="212"/>
        <v>-1</v>
      </c>
      <c r="O759" s="183">
        <f t="shared" si="213"/>
        <v>0</v>
      </c>
      <c r="P759" s="184">
        <f t="shared" si="214"/>
        <v>0</v>
      </c>
      <c r="Q759" s="184">
        <f t="shared" si="215"/>
        <v>-1</v>
      </c>
      <c r="R75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25322.5</v>
      </c>
      <c r="T75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59" s="186">
        <f ca="1">IF(Tabla33610673[[#This Row],[Equity]]&lt;Tabla33610673[[#This Row],[Equity Peak]],(Tabla33610673[[#This Row],[Equity Peak]]-Tabla33610673[[#This Row],[Equity]])/Tabla33610673[[#This Row],[Equity Peak]],"")</f>
        <v>4.0360018948365703E-2</v>
      </c>
      <c r="V759" s="187">
        <f t="shared" si="216"/>
        <v>0</v>
      </c>
      <c r="W759" s="187">
        <f t="shared" si="217"/>
        <v>0</v>
      </c>
      <c r="X759" s="187">
        <f t="shared" si="218"/>
        <v>0</v>
      </c>
      <c r="Y759" s="187">
        <f t="shared" si="219"/>
        <v>0</v>
      </c>
      <c r="Z759" s="187">
        <f t="shared" si="220"/>
        <v>-1</v>
      </c>
      <c r="AA759" s="183">
        <f t="shared" si="221"/>
        <v>0</v>
      </c>
      <c r="AB759" s="187">
        <f t="shared" si="222"/>
        <v>0</v>
      </c>
      <c r="AC759" s="183">
        <f t="shared" si="223"/>
        <v>0</v>
      </c>
      <c r="AD759" s="188">
        <f t="shared" si="224"/>
        <v>2.2020833333299379</v>
      </c>
      <c r="AE759" s="188">
        <f t="shared" si="225"/>
        <v>0</v>
      </c>
      <c r="AF759" s="188">
        <f t="shared" si="226"/>
        <v>2.2020833333299379</v>
      </c>
      <c r="AG759" s="188">
        <f t="shared" si="227"/>
        <v>0</v>
      </c>
    </row>
    <row r="760" spans="2:33" ht="15" customHeight="1" x14ac:dyDescent="0.15">
      <c r="B760" s="174" t="s">
        <v>7</v>
      </c>
      <c r="C760" s="175" t="s">
        <v>15</v>
      </c>
      <c r="D760" s="176" t="str">
        <f t="shared" si="209"/>
        <v>C</v>
      </c>
      <c r="E760" s="177" t="d">
        <v>2021-01-08T09:00:00.000</v>
      </c>
      <c r="F760" s="178" t="s">
        <v>102</v>
      </c>
      <c r="G760" s="179">
        <v>141.05799999999999</v>
      </c>
      <c r="H760" s="179">
        <v>140.761</v>
      </c>
      <c r="I760" s="180">
        <f t="shared" si="210"/>
        <v>0.29699999999999704</v>
      </c>
      <c r="J760" s="179">
        <v>142.64400000000001</v>
      </c>
      <c r="K760" s="177" t="d">
        <v>2021-01-08T17:23:59.99999987427145575</v>
      </c>
      <c r="L760" s="179">
        <v>140.91999999999999</v>
      </c>
      <c r="M760" s="181">
        <f t="shared" si="211"/>
        <v>-0.13800000000000001</v>
      </c>
      <c r="N760" s="182">
        <f t="shared" si="212"/>
        <v>-0.46</v>
      </c>
      <c r="O760" s="183">
        <f t="shared" si="213"/>
        <v>0</v>
      </c>
      <c r="P760" s="184">
        <f t="shared" si="214"/>
        <v>0</v>
      </c>
      <c r="Q760" s="184">
        <f t="shared" si="215"/>
        <v>-0.46</v>
      </c>
      <c r="R76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25572.5</v>
      </c>
      <c r="T76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60" s="186">
        <f ca="1">IF(Tabla33610673[[#This Row],[Equity]]&lt;Tabla33610673[[#This Row],[Equity Peak]],(Tabla33610673[[#This Row],[Equity Peak]]-Tabla33610673[[#This Row],[Equity]])/Tabla33610673[[#This Row],[Equity Peak]],"")</f>
        <v>3.0885836096636664E-2</v>
      </c>
      <c r="V760" s="187">
        <f t="shared" si="216"/>
        <v>-0.46</v>
      </c>
      <c r="W760" s="187">
        <f t="shared" si="217"/>
        <v>0</v>
      </c>
      <c r="X760" s="187">
        <f t="shared" si="218"/>
        <v>0</v>
      </c>
      <c r="Y760" s="187">
        <f t="shared" si="219"/>
        <v>0</v>
      </c>
      <c r="Z760" s="187">
        <f t="shared" si="220"/>
        <v>0</v>
      </c>
      <c r="AA760" s="183">
        <f t="shared" si="221"/>
        <v>0</v>
      </c>
      <c r="AB760" s="187">
        <f t="shared" si="222"/>
        <v>0</v>
      </c>
      <c r="AC760" s="183">
        <f t="shared" si="223"/>
        <v>0</v>
      </c>
      <c r="AD760" s="188">
        <f t="shared" si="224"/>
        <v>0.34999999999854481</v>
      </c>
      <c r="AE760" s="188">
        <f t="shared" si="225"/>
        <v>0</v>
      </c>
      <c r="AF760" s="188">
        <f t="shared" si="226"/>
        <v>0.34999999999854481</v>
      </c>
      <c r="AG760" s="188">
        <f t="shared" si="227"/>
        <v>0</v>
      </c>
    </row>
    <row r="761" spans="2:33" ht="15" customHeight="1" x14ac:dyDescent="0.15">
      <c r="B761" s="174" t="s">
        <v>5</v>
      </c>
      <c r="C761" s="175" t="s">
        <v>15</v>
      </c>
      <c r="D761" s="176" t="str">
        <f t="shared" si="209"/>
        <v>C</v>
      </c>
      <c r="E761" s="177" t="d">
        <v>2021-01-07T03:30:00.00000020954757600</v>
      </c>
      <c r="F761" s="178" t="s">
        <v>80</v>
      </c>
      <c r="G761" s="179">
        <v>13955.5</v>
      </c>
      <c r="H761" s="179">
        <v>13876.74</v>
      </c>
      <c r="I761" s="180">
        <f t="shared" si="210"/>
        <v>78.760000000000218</v>
      </c>
      <c r="J761" s="179">
        <v>14533.07</v>
      </c>
      <c r="K761" s="177" t="d">
        <v>2021-01-08T17:23:59.99999987427145575</v>
      </c>
      <c r="L761" s="179">
        <v>14027.48</v>
      </c>
      <c r="M761" s="181">
        <f t="shared" si="211"/>
        <v>71.98</v>
      </c>
      <c r="N761" s="182">
        <f t="shared" si="212"/>
        <v>0.91</v>
      </c>
      <c r="O761" s="183">
        <f t="shared" si="213"/>
        <v>0</v>
      </c>
      <c r="P761" s="184">
        <f t="shared" si="214"/>
        <v>0.91</v>
      </c>
      <c r="Q761" s="184">
        <f t="shared" si="215"/>
        <v>0</v>
      </c>
      <c r="R76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25687.5</v>
      </c>
      <c r="T76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61" s="186">
        <f ca="1">IF(Tabla33610673[[#This Row],[Equity]]&lt;Tabla33610673[[#This Row],[Equity Peak]],(Tabla33610673[[#This Row],[Equity Peak]]-Tabla33610673[[#This Row],[Equity]])/Tabla33610673[[#This Row],[Equity Peak]],"")</f>
        <v>2.6527711984841308E-2</v>
      </c>
      <c r="V761" s="187">
        <f t="shared" si="216"/>
        <v>0</v>
      </c>
      <c r="W761" s="187">
        <f t="shared" si="217"/>
        <v>0</v>
      </c>
      <c r="X761" s="187">
        <f t="shared" si="218"/>
        <v>0</v>
      </c>
      <c r="Y761" s="187">
        <f t="shared" si="219"/>
        <v>0</v>
      </c>
      <c r="Z761" s="187">
        <f t="shared" si="220"/>
        <v>0.91</v>
      </c>
      <c r="AA761" s="183">
        <f t="shared" si="221"/>
        <v>0</v>
      </c>
      <c r="AB761" s="187">
        <f t="shared" si="222"/>
        <v>0</v>
      </c>
      <c r="AC761" s="183">
        <f t="shared" si="223"/>
        <v>0</v>
      </c>
      <c r="AD761" s="188">
        <f t="shared" si="224"/>
        <v>1.5791666666627862</v>
      </c>
      <c r="AE761" s="188">
        <f t="shared" si="225"/>
        <v>1.5791666666627862</v>
      </c>
      <c r="AF761" s="188">
        <f t="shared" si="226"/>
        <v>0</v>
      </c>
      <c r="AG761" s="188">
        <f t="shared" si="227"/>
        <v>0</v>
      </c>
    </row>
    <row r="762" spans="2:33" ht="15" customHeight="1" x14ac:dyDescent="0.15">
      <c r="B762" s="174" t="s">
        <v>5</v>
      </c>
      <c r="C762" s="175" t="s">
        <v>15</v>
      </c>
      <c r="D762" s="176" t="str">
        <f t="shared" si="209"/>
        <v>C</v>
      </c>
      <c r="E762" s="177" t="d">
        <v>2021-01-07T17:00:00.00000020954757600</v>
      </c>
      <c r="F762" s="178" t="s">
        <v>81</v>
      </c>
      <c r="G762" s="179">
        <v>12849.2</v>
      </c>
      <c r="H762" s="179">
        <v>12763.31</v>
      </c>
      <c r="I762" s="180">
        <f t="shared" si="210"/>
        <v>85.890000000001237</v>
      </c>
      <c r="J762" s="179">
        <v>13364.51</v>
      </c>
      <c r="K762" s="177" t="d">
        <v>2021-01-08T17:23:59.99999987427145575</v>
      </c>
      <c r="L762" s="179">
        <v>12986.01</v>
      </c>
      <c r="M762" s="181">
        <f t="shared" si="211"/>
        <v>136.81</v>
      </c>
      <c r="N762" s="182">
        <f t="shared" si="212"/>
        <v>1.59</v>
      </c>
      <c r="O762" s="183">
        <f t="shared" si="213"/>
        <v>0</v>
      </c>
      <c r="P762" s="184">
        <f t="shared" si="214"/>
        <v>1.59</v>
      </c>
      <c r="Q762" s="184">
        <f t="shared" si="215"/>
        <v>0</v>
      </c>
      <c r="R76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25460</v>
      </c>
      <c r="T76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62" s="186">
        <f ca="1">IF(Tabla33610673[[#This Row],[Equity]]&lt;Tabla33610673[[#This Row],[Equity Peak]],(Tabla33610673[[#This Row],[Equity Peak]]-Tabla33610673[[#This Row],[Equity]])/Tabla33610673[[#This Row],[Equity Peak]],"")</f>
        <v>3.5149218379914735E-2</v>
      </c>
      <c r="V762" s="187">
        <f t="shared" si="216"/>
        <v>0</v>
      </c>
      <c r="W762" s="187">
        <f t="shared" si="217"/>
        <v>0</v>
      </c>
      <c r="X762" s="187">
        <f t="shared" si="218"/>
        <v>0</v>
      </c>
      <c r="Y762" s="187">
        <f t="shared" si="219"/>
        <v>0</v>
      </c>
      <c r="Z762" s="187">
        <f t="shared" si="220"/>
        <v>1.59</v>
      </c>
      <c r="AA762" s="183">
        <f t="shared" si="221"/>
        <v>0</v>
      </c>
      <c r="AB762" s="187">
        <f t="shared" si="222"/>
        <v>0</v>
      </c>
      <c r="AC762" s="183">
        <f t="shared" si="223"/>
        <v>0</v>
      </c>
      <c r="AD762" s="188">
        <f t="shared" si="224"/>
        <v>1.0166666666627862</v>
      </c>
      <c r="AE762" s="188">
        <f t="shared" si="225"/>
        <v>1.0166666666627862</v>
      </c>
      <c r="AF762" s="188">
        <f t="shared" si="226"/>
        <v>0</v>
      </c>
      <c r="AG762" s="188">
        <f t="shared" si="227"/>
        <v>0</v>
      </c>
    </row>
    <row r="763" spans="2:33" ht="15" customHeight="1" x14ac:dyDescent="0.15">
      <c r="B763" s="174" t="s">
        <v>7</v>
      </c>
      <c r="C763" s="175" t="s">
        <v>15</v>
      </c>
      <c r="D763" s="176" t="str">
        <f t="shared" si="209"/>
        <v>C</v>
      </c>
      <c r="E763" s="177" t="d">
        <v>2021-01-08T03:14:59.99999979045242400</v>
      </c>
      <c r="F763" s="178" t="s">
        <v>103</v>
      </c>
      <c r="G763" s="179">
        <v>103.962</v>
      </c>
      <c r="H763" s="179">
        <v>103.76600000000001</v>
      </c>
      <c r="I763" s="180">
        <f t="shared" si="210"/>
        <v>0.19599999999999795</v>
      </c>
      <c r="J763" s="179">
        <v>105.194</v>
      </c>
      <c r="K763" s="177" t="d">
        <v>2021-01-08T11:52:59.99999988824129100</v>
      </c>
      <c r="L763" s="179">
        <v>103.803</v>
      </c>
      <c r="M763" s="181">
        <f t="shared" si="211"/>
        <v>-0.159</v>
      </c>
      <c r="N763" s="182">
        <f t="shared" si="212"/>
        <v>-0.81</v>
      </c>
      <c r="O763" s="183">
        <f t="shared" si="213"/>
        <v>0</v>
      </c>
      <c r="P763" s="184">
        <f t="shared" si="214"/>
        <v>0</v>
      </c>
      <c r="Q763" s="184">
        <f t="shared" si="215"/>
        <v>-0.81</v>
      </c>
      <c r="R76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25062.5</v>
      </c>
      <c r="T76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63" s="186">
        <f ca="1">IF(Tabla33610673[[#This Row],[Equity]]&lt;Tabla33610673[[#This Row],[Equity Peak]],(Tabla33610673[[#This Row],[Equity Peak]]-Tabla33610673[[#This Row],[Equity]])/Tabla33610673[[#This Row],[Equity Peak]],"")</f>
        <v>5.0213169114163902E-2</v>
      </c>
      <c r="V763" s="187">
        <f t="shared" si="216"/>
        <v>-0.81</v>
      </c>
      <c r="W763" s="187">
        <f t="shared" si="217"/>
        <v>0</v>
      </c>
      <c r="X763" s="187">
        <f t="shared" si="218"/>
        <v>0</v>
      </c>
      <c r="Y763" s="187">
        <f t="shared" si="219"/>
        <v>0</v>
      </c>
      <c r="Z763" s="187">
        <f t="shared" si="220"/>
        <v>0</v>
      </c>
      <c r="AA763" s="183">
        <f t="shared" si="221"/>
        <v>0</v>
      </c>
      <c r="AB763" s="187">
        <f t="shared" si="222"/>
        <v>0</v>
      </c>
      <c r="AC763" s="183">
        <f t="shared" si="223"/>
        <v>0</v>
      </c>
      <c r="AD763" s="188">
        <f t="shared" si="224"/>
        <v>0.35972222222335404</v>
      </c>
      <c r="AE763" s="188">
        <f t="shared" si="225"/>
        <v>0</v>
      </c>
      <c r="AF763" s="188">
        <f t="shared" si="226"/>
        <v>0.35972222222335404</v>
      </c>
      <c r="AG763" s="188">
        <f t="shared" si="227"/>
        <v>0</v>
      </c>
    </row>
    <row r="764" spans="2:33" ht="15" customHeight="1" x14ac:dyDescent="0.15">
      <c r="B764" s="174" t="s">
        <v>7</v>
      </c>
      <c r="C764" s="175" t="s">
        <v>15</v>
      </c>
      <c r="D764" s="176" t="str">
        <f t="shared" si="209"/>
        <v>C</v>
      </c>
      <c r="E764" s="177" t="d">
        <v>2021-01-07T15:00:00.000</v>
      </c>
      <c r="F764" s="178" t="s">
        <v>102</v>
      </c>
      <c r="G764" s="179">
        <v>140.983</v>
      </c>
      <c r="H764" s="179">
        <v>140.59800000000001</v>
      </c>
      <c r="I764" s="180">
        <f t="shared" si="210"/>
        <v>0.38499999999999091</v>
      </c>
      <c r="J764" s="179">
        <v>143.035</v>
      </c>
      <c r="K764" s="177" t="d">
        <v>2021-01-07T18:39:00.00000008381903175</v>
      </c>
      <c r="L764" s="179">
        <v>140.59800000000001</v>
      </c>
      <c r="M764" s="181">
        <f t="shared" si="211"/>
        <v>-0.38500000000000001</v>
      </c>
      <c r="N764" s="182">
        <f t="shared" si="212"/>
        <v>-1</v>
      </c>
      <c r="O764" s="183">
        <f t="shared" si="213"/>
        <v>0</v>
      </c>
      <c r="P764" s="184">
        <f t="shared" si="214"/>
        <v>0</v>
      </c>
      <c r="Q764" s="184">
        <f t="shared" si="215"/>
        <v>-1</v>
      </c>
      <c r="R76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25265</v>
      </c>
      <c r="T76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64" s="186">
        <f ca="1">IF(Tabla33610673[[#This Row],[Equity]]&lt;Tabla33610673[[#This Row],[Equity Peak]],(Tabla33610673[[#This Row],[Equity Peak]]-Tabla33610673[[#This Row],[Equity]])/Tabla33610673[[#This Row],[Equity Peak]],"")</f>
        <v>4.2539081004263381E-2</v>
      </c>
      <c r="V764" s="187">
        <f t="shared" si="216"/>
        <v>-1</v>
      </c>
      <c r="W764" s="187">
        <f t="shared" si="217"/>
        <v>0</v>
      </c>
      <c r="X764" s="187">
        <f t="shared" si="218"/>
        <v>0</v>
      </c>
      <c r="Y764" s="187">
        <f t="shared" si="219"/>
        <v>0</v>
      </c>
      <c r="Z764" s="187">
        <f t="shared" si="220"/>
        <v>0</v>
      </c>
      <c r="AA764" s="183">
        <f t="shared" si="221"/>
        <v>0</v>
      </c>
      <c r="AB764" s="187">
        <f t="shared" si="222"/>
        <v>0</v>
      </c>
      <c r="AC764" s="183">
        <f t="shared" si="223"/>
        <v>0</v>
      </c>
      <c r="AD764" s="188">
        <f t="shared" si="224"/>
        <v>0.15208333333430346</v>
      </c>
      <c r="AE764" s="188">
        <f t="shared" si="225"/>
        <v>0</v>
      </c>
      <c r="AF764" s="188">
        <f t="shared" si="226"/>
        <v>0.15208333333430346</v>
      </c>
      <c r="AG764" s="188">
        <f t="shared" si="227"/>
        <v>0</v>
      </c>
    </row>
    <row r="765" spans="2:33" ht="15" customHeight="1" x14ac:dyDescent="0.15">
      <c r="B765" s="174" t="s">
        <v>5</v>
      </c>
      <c r="C765" s="175" t="s">
        <v>15</v>
      </c>
      <c r="D765" s="176" t="str">
        <f t="shared" si="209"/>
        <v>C</v>
      </c>
      <c r="E765" s="177" t="d">
        <v>2021-01-06T18:30:00.00000020954757600</v>
      </c>
      <c r="F765" s="178" t="s">
        <v>80</v>
      </c>
      <c r="G765" s="179">
        <v>13916.65</v>
      </c>
      <c r="H765" s="179">
        <v>13832.08</v>
      </c>
      <c r="I765" s="180">
        <f t="shared" si="210"/>
        <v>84.569999999999709</v>
      </c>
      <c r="J765" s="179">
        <v>14536.85</v>
      </c>
      <c r="K765" s="177" t="d">
        <v>2021-01-06T23:00:59.99999977648258200</v>
      </c>
      <c r="L765" s="179">
        <v>13832.08</v>
      </c>
      <c r="M765" s="181">
        <f t="shared" si="211"/>
        <v>-84.57</v>
      </c>
      <c r="N765" s="182">
        <f t="shared" si="212"/>
        <v>-1</v>
      </c>
      <c r="O765" s="183">
        <f t="shared" si="213"/>
        <v>0</v>
      </c>
      <c r="P765" s="184">
        <f t="shared" si="214"/>
        <v>0</v>
      </c>
      <c r="Q765" s="184">
        <f t="shared" si="215"/>
        <v>-1</v>
      </c>
      <c r="R76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25515</v>
      </c>
      <c r="T76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65" s="186">
        <f ca="1">IF(Tabla33610673[[#This Row],[Equity]]&lt;Tabla33610673[[#This Row],[Equity Peak]],(Tabla33610673[[#This Row],[Equity Peak]]-Tabla33610673[[#This Row],[Equity]])/Tabla33610673[[#This Row],[Equity Peak]],"")</f>
        <v>3.3064898152534342E-2</v>
      </c>
      <c r="V765" s="187">
        <f t="shared" si="216"/>
        <v>0</v>
      </c>
      <c r="W765" s="187">
        <f t="shared" si="217"/>
        <v>0</v>
      </c>
      <c r="X765" s="187">
        <f t="shared" si="218"/>
        <v>0</v>
      </c>
      <c r="Y765" s="187">
        <f t="shared" si="219"/>
        <v>0</v>
      </c>
      <c r="Z765" s="187">
        <f t="shared" si="220"/>
        <v>-1</v>
      </c>
      <c r="AA765" s="183">
        <f t="shared" si="221"/>
        <v>0</v>
      </c>
      <c r="AB765" s="187">
        <f t="shared" si="222"/>
        <v>0</v>
      </c>
      <c r="AC765" s="183">
        <f t="shared" si="223"/>
        <v>0</v>
      </c>
      <c r="AD765" s="188">
        <f t="shared" si="224"/>
        <v>0.18819444443943212</v>
      </c>
      <c r="AE765" s="188">
        <f t="shared" si="225"/>
        <v>0</v>
      </c>
      <c r="AF765" s="188">
        <f t="shared" si="226"/>
        <v>0.18819444443943212</v>
      </c>
      <c r="AG765" s="188">
        <f t="shared" si="227"/>
        <v>0</v>
      </c>
    </row>
    <row r="766" spans="2:33" ht="15" customHeight="1" x14ac:dyDescent="0.15">
      <c r="B766" s="174" t="s">
        <v>5</v>
      </c>
      <c r="C766" s="175" t="s">
        <v>15</v>
      </c>
      <c r="D766" s="176" t="str">
        <f t="shared" si="209"/>
        <v>C</v>
      </c>
      <c r="E766" s="177" t="d">
        <v>2021-01-06T17:15:00.000</v>
      </c>
      <c r="F766" s="178" t="s">
        <v>82</v>
      </c>
      <c r="G766" s="179">
        <v>3746.01</v>
      </c>
      <c r="H766" s="179">
        <v>3725.43</v>
      </c>
      <c r="I766" s="180">
        <f t="shared" si="210"/>
        <v>20.580000000000382</v>
      </c>
      <c r="J766" s="179">
        <v>3879.78</v>
      </c>
      <c r="K766" s="177" t="d">
        <v>2021-01-06T21:24:00.00000029336660775</v>
      </c>
      <c r="L766" s="179">
        <v>3760.85</v>
      </c>
      <c r="M766" s="181">
        <f t="shared" si="211"/>
        <v>14.84</v>
      </c>
      <c r="N766" s="182">
        <f t="shared" si="212"/>
        <v>0.72</v>
      </c>
      <c r="O766" s="183">
        <f t="shared" si="213"/>
        <v>0</v>
      </c>
      <c r="P766" s="184">
        <f t="shared" si="214"/>
        <v>0.72</v>
      </c>
      <c r="Q766" s="184">
        <f t="shared" si="215"/>
        <v>0</v>
      </c>
      <c r="R76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25765</v>
      </c>
      <c r="T76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66" s="186">
        <f ca="1">IF(Tabla33610673[[#This Row],[Equity]]&lt;Tabla33610673[[#This Row],[Equity Peak]],(Tabla33610673[[#This Row],[Equity Peak]]-Tabla33610673[[#This Row],[Equity]])/Tabla33610673[[#This Row],[Equity Peak]],"")</f>
        <v>2.3590715300805306E-2</v>
      </c>
      <c r="V766" s="187">
        <f t="shared" si="216"/>
        <v>0</v>
      </c>
      <c r="W766" s="187">
        <f t="shared" si="217"/>
        <v>0</v>
      </c>
      <c r="X766" s="187">
        <f t="shared" si="218"/>
        <v>0</v>
      </c>
      <c r="Y766" s="187">
        <f t="shared" si="219"/>
        <v>0</v>
      </c>
      <c r="Z766" s="187">
        <f t="shared" si="220"/>
        <v>0.72</v>
      </c>
      <c r="AA766" s="183">
        <f t="shared" si="221"/>
        <v>0</v>
      </c>
      <c r="AB766" s="187">
        <f t="shared" si="222"/>
        <v>0</v>
      </c>
      <c r="AC766" s="183">
        <f t="shared" si="223"/>
        <v>0</v>
      </c>
      <c r="AD766" s="188">
        <f t="shared" si="224"/>
        <v>0.17291666667006211</v>
      </c>
      <c r="AE766" s="188">
        <f t="shared" si="225"/>
        <v>0.17291666667006211</v>
      </c>
      <c r="AF766" s="188">
        <f t="shared" si="226"/>
        <v>0</v>
      </c>
      <c r="AG766" s="188">
        <f t="shared" si="227"/>
        <v>0</v>
      </c>
    </row>
    <row r="767" spans="2:33" ht="15" customHeight="1" x14ac:dyDescent="0.15">
      <c r="B767" s="174" t="s">
        <v>5</v>
      </c>
      <c r="C767" s="175" t="s">
        <v>13</v>
      </c>
      <c r="D767" s="176" t="str">
        <f t="shared" si="209"/>
        <v>C</v>
      </c>
      <c r="E767" s="177" t="d">
        <v>2021-01-06T09:59:59.99999979045242400</v>
      </c>
      <c r="F767" s="178" t="s">
        <v>81</v>
      </c>
      <c r="G767" s="179">
        <v>12579.9</v>
      </c>
      <c r="H767" s="179">
        <v>12656.63</v>
      </c>
      <c r="I767" s="180">
        <f t="shared" si="210"/>
        <v>76.729999999999563</v>
      </c>
      <c r="J767" s="179">
        <v>12119.55</v>
      </c>
      <c r="K767" s="177" t="d">
        <v>2021-01-06T14:06:59.99999969266355025</v>
      </c>
      <c r="L767" s="179">
        <v>12630.03</v>
      </c>
      <c r="M767" s="181">
        <f t="shared" si="211"/>
        <v>-50.13</v>
      </c>
      <c r="N767" s="182">
        <f t="shared" si="212"/>
        <v>-0.65</v>
      </c>
      <c r="O767" s="183">
        <f t="shared" si="213"/>
        <v>0</v>
      </c>
      <c r="P767" s="184">
        <f t="shared" si="214"/>
        <v>0</v>
      </c>
      <c r="Q767" s="184">
        <f t="shared" si="215"/>
        <v>-0.65</v>
      </c>
      <c r="R76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25585</v>
      </c>
      <c r="T76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67" s="186">
        <f ca="1">IF(Tabla33610673[[#This Row],[Equity]]&lt;Tabla33610673[[#This Row],[Equity Peak]],(Tabla33610673[[#This Row],[Equity Peak]]-Tabla33610673[[#This Row],[Equity]])/Tabla33610673[[#This Row],[Equity Peak]],"")</f>
        <v>3.0412126954050211E-2</v>
      </c>
      <c r="V767" s="187">
        <f t="shared" si="216"/>
        <v>0</v>
      </c>
      <c r="W767" s="187">
        <f t="shared" si="217"/>
        <v>0</v>
      </c>
      <c r="X767" s="187">
        <f t="shared" si="218"/>
        <v>0</v>
      </c>
      <c r="Y767" s="187">
        <f t="shared" si="219"/>
        <v>0</v>
      </c>
      <c r="Z767" s="187">
        <f t="shared" si="220"/>
        <v>-0.65</v>
      </c>
      <c r="AA767" s="183">
        <f t="shared" si="221"/>
        <v>0</v>
      </c>
      <c r="AB767" s="187">
        <f t="shared" si="222"/>
        <v>0</v>
      </c>
      <c r="AC767" s="183">
        <f t="shared" si="223"/>
        <v>0</v>
      </c>
      <c r="AD767" s="188">
        <f t="shared" si="224"/>
        <v>0.17152777777664596</v>
      </c>
      <c r="AE767" s="188">
        <f t="shared" si="225"/>
        <v>0</v>
      </c>
      <c r="AF767" s="188">
        <f t="shared" si="226"/>
        <v>0.17152777777664596</v>
      </c>
      <c r="AG767" s="188">
        <f t="shared" si="227"/>
        <v>0</v>
      </c>
    </row>
    <row r="768" spans="2:33" ht="15" customHeight="1" x14ac:dyDescent="0.15">
      <c r="B768" s="174" t="s">
        <v>7</v>
      </c>
      <c r="C768" s="175" t="s">
        <v>13</v>
      </c>
      <c r="D768" s="176" t="str">
        <f t="shared" si="209"/>
        <v>C</v>
      </c>
      <c r="E768" s="177" t="d">
        <v>2021-01-05T19:15:00.00000020954757600</v>
      </c>
      <c r="F768" s="178" t="s">
        <v>103</v>
      </c>
      <c r="G768" s="179">
        <v>102.637</v>
      </c>
      <c r="H768" s="179">
        <v>102.804</v>
      </c>
      <c r="I768" s="180">
        <f t="shared" si="210"/>
        <v>0.16700000000000159</v>
      </c>
      <c r="J768" s="179">
        <v>101.586</v>
      </c>
      <c r="K768" s="177" t="d">
        <v>2021-01-06T03:36:59.99999969266355025</v>
      </c>
      <c r="L768" s="179">
        <v>102.804</v>
      </c>
      <c r="M768" s="181">
        <f t="shared" si="211"/>
        <v>-0.16700000000000001</v>
      </c>
      <c r="N768" s="182">
        <f t="shared" si="212"/>
        <v>-1</v>
      </c>
      <c r="O768" s="183">
        <f t="shared" si="213"/>
        <v>0</v>
      </c>
      <c r="P768" s="184">
        <f t="shared" si="214"/>
        <v>0</v>
      </c>
      <c r="Q768" s="184">
        <f t="shared" si="215"/>
        <v>-1</v>
      </c>
      <c r="R768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8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25747.5</v>
      </c>
      <c r="T768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68" s="186">
        <f ca="1">IF(Tabla33610673[[#This Row],[Equity]]&lt;Tabla33610673[[#This Row],[Equity Peak]],(Tabla33610673[[#This Row],[Equity Peak]]-Tabla33610673[[#This Row],[Equity]])/Tabla33610673[[#This Row],[Equity Peak]],"")</f>
        <v>2.4253908100426338E-2</v>
      </c>
      <c r="V768" s="187">
        <f t="shared" si="216"/>
        <v>-1</v>
      </c>
      <c r="W768" s="187">
        <f t="shared" si="217"/>
        <v>0</v>
      </c>
      <c r="X768" s="187">
        <f t="shared" si="218"/>
        <v>0</v>
      </c>
      <c r="Y768" s="187">
        <f t="shared" si="219"/>
        <v>0</v>
      </c>
      <c r="Z768" s="187">
        <f t="shared" si="220"/>
        <v>0</v>
      </c>
      <c r="AA768" s="183">
        <f t="shared" si="221"/>
        <v>0</v>
      </c>
      <c r="AB768" s="187">
        <f t="shared" si="222"/>
        <v>0</v>
      </c>
      <c r="AC768" s="183">
        <f t="shared" si="223"/>
        <v>0</v>
      </c>
      <c r="AD768" s="188">
        <f t="shared" si="224"/>
        <v>0.34861111110512866</v>
      </c>
      <c r="AE768" s="188">
        <f t="shared" si="225"/>
        <v>0</v>
      </c>
      <c r="AF768" s="188">
        <f t="shared" si="226"/>
        <v>0.34861111110512866</v>
      </c>
      <c r="AG768" s="188">
        <f t="shared" si="227"/>
        <v>0</v>
      </c>
    </row>
    <row r="769" spans="2:33" ht="15" customHeight="1" x14ac:dyDescent="0.15">
      <c r="B769" s="174" t="s">
        <v>5</v>
      </c>
      <c r="C769" s="175" t="s">
        <v>15</v>
      </c>
      <c r="D769" s="176" t="str">
        <f t="shared" si="209"/>
        <v>C</v>
      </c>
      <c r="E769" s="177" t="d">
        <v>2021-01-05T21:14:59.99999979045242400</v>
      </c>
      <c r="F769" s="178" t="s">
        <v>82</v>
      </c>
      <c r="G769" s="179">
        <v>3734.17</v>
      </c>
      <c r="H769" s="179">
        <v>3717.06</v>
      </c>
      <c r="I769" s="180">
        <f t="shared" si="210"/>
        <v>17.110000000000127</v>
      </c>
      <c r="J769" s="179">
        <v>3845.36</v>
      </c>
      <c r="K769" s="177" t="d">
        <v>2021-01-06T02:54:00.00000008381903175</v>
      </c>
      <c r="L769" s="179">
        <v>3724.6</v>
      </c>
      <c r="M769" s="181">
        <f t="shared" si="211"/>
        <v>-9.57</v>
      </c>
      <c r="N769" s="182">
        <f t="shared" si="212"/>
        <v>-0.56000000000000005</v>
      </c>
      <c r="O769" s="183">
        <f t="shared" si="213"/>
        <v>0</v>
      </c>
      <c r="P769" s="184">
        <f t="shared" si="214"/>
        <v>0</v>
      </c>
      <c r="Q769" s="184">
        <f t="shared" si="215"/>
        <v>-0.56000000000000005</v>
      </c>
      <c r="R769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9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25997.5</v>
      </c>
      <c r="T769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69" s="186">
        <f ca="1">IF(Tabla33610673[[#This Row],[Equity]]&lt;Tabla33610673[[#This Row],[Equity Peak]],(Tabla33610673[[#This Row],[Equity Peak]]-Tabla33610673[[#This Row],[Equity]])/Tabla33610673[[#This Row],[Equity Peak]],"")</f>
        <v>1.4779725248697299E-2</v>
      </c>
      <c r="V769" s="187">
        <f t="shared" si="216"/>
        <v>0</v>
      </c>
      <c r="W769" s="187">
        <f t="shared" si="217"/>
        <v>0</v>
      </c>
      <c r="X769" s="187">
        <f t="shared" si="218"/>
        <v>0</v>
      </c>
      <c r="Y769" s="187">
        <f t="shared" si="219"/>
        <v>0</v>
      </c>
      <c r="Z769" s="187">
        <f t="shared" si="220"/>
        <v>-0.56000000000000005</v>
      </c>
      <c r="AA769" s="183">
        <f t="shared" si="221"/>
        <v>0</v>
      </c>
      <c r="AB769" s="187">
        <f t="shared" si="222"/>
        <v>0</v>
      </c>
      <c r="AC769" s="183">
        <f t="shared" si="223"/>
        <v>0</v>
      </c>
      <c r="AD769" s="188">
        <f t="shared" si="224"/>
        <v>0.23541666667006211</v>
      </c>
      <c r="AE769" s="188">
        <f t="shared" si="225"/>
        <v>0</v>
      </c>
      <c r="AF769" s="188">
        <f t="shared" si="226"/>
        <v>0.23541666667006211</v>
      </c>
      <c r="AG769" s="188">
        <f t="shared" si="227"/>
        <v>0</v>
      </c>
    </row>
    <row r="770" spans="2:33" ht="15" customHeight="1" x14ac:dyDescent="0.15">
      <c r="B770" s="174" t="s">
        <v>7</v>
      </c>
      <c r="C770" s="175" t="s">
        <v>13</v>
      </c>
      <c r="D770" s="176" t="str">
        <f t="shared" si="209"/>
        <v>C</v>
      </c>
      <c r="E770" s="177" t="d">
        <v>2021-01-05T11:00:00.00000020954757600</v>
      </c>
      <c r="F770" s="178" t="s">
        <v>102</v>
      </c>
      <c r="G770" s="179">
        <v>139.53800000000001</v>
      </c>
      <c r="H770" s="179">
        <v>139.87</v>
      </c>
      <c r="I770" s="180">
        <f t="shared" si="210"/>
        <v>0.33199999999999363</v>
      </c>
      <c r="J770" s="179">
        <v>137.768</v>
      </c>
      <c r="K770" s="177" t="d">
        <v>2021-01-05T13:06:59.99999990221113300</v>
      </c>
      <c r="L770" s="179">
        <v>139.87</v>
      </c>
      <c r="M770" s="181">
        <f t="shared" si="211"/>
        <v>-0.33200000000000002</v>
      </c>
      <c r="N770" s="182">
        <f t="shared" si="212"/>
        <v>-1</v>
      </c>
      <c r="O770" s="183">
        <f t="shared" si="213"/>
        <v>0</v>
      </c>
      <c r="P770" s="184">
        <f t="shared" si="214"/>
        <v>0</v>
      </c>
      <c r="Q770" s="184">
        <f t="shared" si="215"/>
        <v>-1</v>
      </c>
      <c r="R770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0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26137.5</v>
      </c>
      <c r="T770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70" s="186">
        <f ca="1">IF(Tabla33610673[[#This Row],[Equity]]&lt;Tabla33610673[[#This Row],[Equity Peak]],(Tabla33610673[[#This Row],[Equity Peak]]-Tabla33610673[[#This Row],[Equity]])/Tabla33610673[[#This Row],[Equity Peak]],"")</f>
        <v>9.4741828517290391E-3</v>
      </c>
      <c r="V770" s="187">
        <f t="shared" si="216"/>
        <v>-1</v>
      </c>
      <c r="W770" s="187">
        <f t="shared" si="217"/>
        <v>0</v>
      </c>
      <c r="X770" s="187">
        <f t="shared" si="218"/>
        <v>0</v>
      </c>
      <c r="Y770" s="187">
        <f t="shared" si="219"/>
        <v>0</v>
      </c>
      <c r="Z770" s="187">
        <f t="shared" si="220"/>
        <v>0</v>
      </c>
      <c r="AA770" s="183">
        <f t="shared" si="221"/>
        <v>0</v>
      </c>
      <c r="AB770" s="187">
        <f t="shared" si="222"/>
        <v>0</v>
      </c>
      <c r="AC770" s="183">
        <f t="shared" si="223"/>
        <v>0</v>
      </c>
      <c r="AD770" s="188">
        <f t="shared" si="224"/>
        <v>8.819444444088731E-2</v>
      </c>
      <c r="AE770" s="188">
        <f t="shared" si="225"/>
        <v>0</v>
      </c>
      <c r="AF770" s="188">
        <f t="shared" si="226"/>
        <v>8.819444444088731E-2</v>
      </c>
      <c r="AG770" s="188">
        <f t="shared" si="227"/>
        <v>0</v>
      </c>
    </row>
    <row r="771" spans="2:33" ht="15" customHeight="1" x14ac:dyDescent="0.15">
      <c r="B771" s="174" t="s">
        <v>5</v>
      </c>
      <c r="C771" s="175" t="s">
        <v>13</v>
      </c>
      <c r="D771" s="176" t="str">
        <f t="shared" si="209"/>
        <v>C</v>
      </c>
      <c r="E771" s="177" t="d">
        <v>2021-01-04T18:59:59.99999979045242400</v>
      </c>
      <c r="F771" s="178" t="s">
        <v>81</v>
      </c>
      <c r="G771" s="179">
        <v>12642.9</v>
      </c>
      <c r="H771" s="179">
        <v>12682.98</v>
      </c>
      <c r="I771" s="180">
        <f t="shared" si="210"/>
        <v>40.079999999999927</v>
      </c>
      <c r="J771" s="179">
        <v>12402.39</v>
      </c>
      <c r="K771" s="177" t="d">
        <v>2021-01-04T19:24:00.00000008381903175</v>
      </c>
      <c r="L771" s="179">
        <v>12593.19</v>
      </c>
      <c r="M771" s="181">
        <f t="shared" si="211"/>
        <v>49.71</v>
      </c>
      <c r="N771" s="182">
        <f t="shared" si="212"/>
        <v>1.24</v>
      </c>
      <c r="O771" s="183">
        <f t="shared" si="213"/>
        <v>0</v>
      </c>
      <c r="P771" s="184">
        <f t="shared" si="214"/>
        <v>1.24</v>
      </c>
      <c r="Q771" s="184">
        <f t="shared" si="215"/>
        <v>0</v>
      </c>
      <c r="R771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1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26387.5</v>
      </c>
      <c r="T771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26387.5</v>
      </c>
      <c r="U771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771" s="187">
        <f t="shared" si="216"/>
        <v>0</v>
      </c>
      <c r="W771" s="187">
        <f t="shared" si="217"/>
        <v>0</v>
      </c>
      <c r="X771" s="187">
        <f t="shared" si="218"/>
        <v>0</v>
      </c>
      <c r="Y771" s="187">
        <f t="shared" si="219"/>
        <v>0</v>
      </c>
      <c r="Z771" s="187">
        <f t="shared" si="220"/>
        <v>1.24</v>
      </c>
      <c r="AA771" s="183">
        <f t="shared" si="221"/>
        <v>0</v>
      </c>
      <c r="AB771" s="187">
        <f t="shared" si="222"/>
        <v>0</v>
      </c>
      <c r="AC771" s="183">
        <f t="shared" si="223"/>
        <v>0</v>
      </c>
      <c r="AD771" s="188">
        <f t="shared" si="224"/>
        <v>1.6666666670062114E-2</v>
      </c>
      <c r="AE771" s="188">
        <f t="shared" si="225"/>
        <v>1.6666666670062114E-2</v>
      </c>
      <c r="AF771" s="188">
        <f t="shared" si="226"/>
        <v>0</v>
      </c>
      <c r="AG771" s="188">
        <f t="shared" si="227"/>
        <v>0</v>
      </c>
    </row>
    <row r="772" spans="2:33" ht="15" customHeight="1" x14ac:dyDescent="0.15">
      <c r="B772" s="174" t="s">
        <v>5</v>
      </c>
      <c r="C772" s="175" t="s">
        <v>13</v>
      </c>
      <c r="D772" s="176" t="str">
        <f t="shared" si="209"/>
        <v>C</v>
      </c>
      <c r="E772" s="177" t="d">
        <v>2021-01-04T18:00:00.000</v>
      </c>
      <c r="F772" s="178" t="s">
        <v>82</v>
      </c>
      <c r="G772" s="179">
        <v>3712.19</v>
      </c>
      <c r="H772" s="179">
        <v>3724.16</v>
      </c>
      <c r="I772" s="180">
        <f t="shared" si="210"/>
        <v>11.9699999999998</v>
      </c>
      <c r="J772" s="179">
        <v>3634.36</v>
      </c>
      <c r="K772" s="177" t="d">
        <v>2021-01-04T19:24:00.00000008381903175</v>
      </c>
      <c r="L772" s="179">
        <v>3677.25</v>
      </c>
      <c r="M772" s="181">
        <f t="shared" si="211"/>
        <v>34.94</v>
      </c>
      <c r="N772" s="182">
        <f t="shared" si="212"/>
        <v>2.92</v>
      </c>
      <c r="O772" s="183">
        <f t="shared" si="213"/>
        <v>0</v>
      </c>
      <c r="P772" s="184">
        <f t="shared" si="214"/>
        <v>2.92</v>
      </c>
      <c r="Q772" s="184">
        <f t="shared" si="215"/>
        <v>0</v>
      </c>
      <c r="R772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2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26077.5</v>
      </c>
      <c r="T772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26077.5</v>
      </c>
      <c r="U772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772" s="187">
        <f t="shared" si="216"/>
        <v>0</v>
      </c>
      <c r="W772" s="187">
        <f t="shared" si="217"/>
        <v>0</v>
      </c>
      <c r="X772" s="187">
        <f t="shared" si="218"/>
        <v>0</v>
      </c>
      <c r="Y772" s="187">
        <f t="shared" si="219"/>
        <v>0</v>
      </c>
      <c r="Z772" s="187">
        <f t="shared" si="220"/>
        <v>2.92</v>
      </c>
      <c r="AA772" s="183">
        <f t="shared" si="221"/>
        <v>0</v>
      </c>
      <c r="AB772" s="187">
        <f t="shared" si="222"/>
        <v>0</v>
      </c>
      <c r="AC772" s="183">
        <f t="shared" si="223"/>
        <v>0</v>
      </c>
      <c r="AD772" s="188">
        <f t="shared" si="224"/>
        <v>5.8333333334303461E-2</v>
      </c>
      <c r="AE772" s="188">
        <f t="shared" si="225"/>
        <v>5.8333333334303461E-2</v>
      </c>
      <c r="AF772" s="188">
        <f t="shared" si="226"/>
        <v>0</v>
      </c>
      <c r="AG772" s="188">
        <f t="shared" si="227"/>
        <v>0</v>
      </c>
    </row>
    <row r="773" spans="2:33" ht="15" customHeight="1" x14ac:dyDescent="0.15">
      <c r="B773" s="174" t="s">
        <v>5</v>
      </c>
      <c r="C773" s="175" t="s">
        <v>15</v>
      </c>
      <c r="D773" s="176" t="str">
        <f t="shared" si="209"/>
        <v>C</v>
      </c>
      <c r="E773" s="177" t="d">
        <v>2021-01-04T09:14:59.99999979045242400</v>
      </c>
      <c r="F773" s="178" t="s">
        <v>81</v>
      </c>
      <c r="G773" s="179">
        <v>12928.1</v>
      </c>
      <c r="H773" s="179">
        <v>12894.89</v>
      </c>
      <c r="I773" s="180">
        <f t="shared" si="210"/>
        <v>33.210000000000946</v>
      </c>
      <c r="J773" s="179">
        <v>13127.38</v>
      </c>
      <c r="K773" s="177" t="d">
        <v>2021-01-04T16:35:59.99999991618096825</v>
      </c>
      <c r="L773" s="179">
        <v>12909.06</v>
      </c>
      <c r="M773" s="181">
        <f t="shared" si="211"/>
        <v>-19.04</v>
      </c>
      <c r="N773" s="182">
        <f t="shared" si="212"/>
        <v>-0.56999999999999995</v>
      </c>
      <c r="O773" s="183">
        <f t="shared" si="213"/>
        <v>0</v>
      </c>
      <c r="P773" s="184">
        <f t="shared" si="214"/>
        <v>0</v>
      </c>
      <c r="Q773" s="184">
        <f t="shared" si="215"/>
        <v>-0.56999999999999995</v>
      </c>
      <c r="R773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3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25347.5</v>
      </c>
      <c r="T773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25617.5</v>
      </c>
      <c r="U773" s="186">
        <f ca="1">IF(Tabla33610673[[#This Row],[Equity]]&lt;Tabla33610673[[#This Row],[Equity Peak]],(Tabla33610673[[#This Row],[Equity Peak]]-Tabla33610673[[#This Row],[Equity]])/Tabla33610673[[#This Row],[Equity Peak]],"")</f>
        <v>1.0539670147360203E-2</v>
      </c>
      <c r="V773" s="187">
        <f t="shared" si="216"/>
        <v>0</v>
      </c>
      <c r="W773" s="187">
        <f t="shared" si="217"/>
        <v>0</v>
      </c>
      <c r="X773" s="187">
        <f t="shared" si="218"/>
        <v>0</v>
      </c>
      <c r="Y773" s="187">
        <f t="shared" si="219"/>
        <v>0</v>
      </c>
      <c r="Z773" s="187">
        <f t="shared" si="220"/>
        <v>-0.56999999999999995</v>
      </c>
      <c r="AA773" s="183">
        <f t="shared" si="221"/>
        <v>0</v>
      </c>
      <c r="AB773" s="187">
        <f t="shared" si="222"/>
        <v>0</v>
      </c>
      <c r="AC773" s="183">
        <f t="shared" si="223"/>
        <v>0</v>
      </c>
      <c r="AD773" s="188">
        <f t="shared" si="224"/>
        <v>0.30625000000145519</v>
      </c>
      <c r="AE773" s="188">
        <f t="shared" si="225"/>
        <v>0</v>
      </c>
      <c r="AF773" s="188">
        <f t="shared" si="226"/>
        <v>0.30625000000145519</v>
      </c>
      <c r="AG773" s="188">
        <f t="shared" si="227"/>
        <v>0</v>
      </c>
    </row>
    <row r="774" spans="2:33" ht="15" customHeight="1" x14ac:dyDescent="0.15">
      <c r="B774" s="174" t="s">
        <v>5</v>
      </c>
      <c r="C774" s="175" t="s">
        <v>15</v>
      </c>
      <c r="D774" s="176" t="str">
        <f t="shared" si="209"/>
        <v>C</v>
      </c>
      <c r="E774" s="177" t="d">
        <v>2021-01-04T09:14:59.99999979045242400</v>
      </c>
      <c r="F774" s="178" t="s">
        <v>82</v>
      </c>
      <c r="G774" s="179">
        <v>3767.42</v>
      </c>
      <c r="H774" s="179">
        <v>3755.83</v>
      </c>
      <c r="I774" s="180">
        <f t="shared" si="210"/>
        <v>11.590000000000146</v>
      </c>
      <c r="J774" s="179">
        <v>3842.76</v>
      </c>
      <c r="K774" s="177" t="d">
        <v>2021-01-04T15:53:59.99999987427145575</v>
      </c>
      <c r="L774" s="179">
        <v>3768.36</v>
      </c>
      <c r="M774" s="181">
        <f t="shared" si="211"/>
        <v>0.94</v>
      </c>
      <c r="N774" s="182">
        <f t="shared" si="212"/>
        <v>0.08</v>
      </c>
      <c r="O774" s="183">
        <f t="shared" si="213"/>
        <v>0</v>
      </c>
      <c r="P774" s="184">
        <f t="shared" si="214"/>
        <v>0.08</v>
      </c>
      <c r="Q774" s="184">
        <f t="shared" si="215"/>
        <v>0</v>
      </c>
      <c r="R774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4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25490</v>
      </c>
      <c r="T774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25617.5</v>
      </c>
      <c r="U774" s="186">
        <f ca="1">IF(Tabla33610673[[#This Row],[Equity]]&lt;Tabla33610673[[#This Row],[Equity Peak]],(Tabla33610673[[#This Row],[Equity Peak]]-Tabla33610673[[#This Row],[Equity]])/Tabla33610673[[#This Row],[Equity Peak]],"")</f>
        <v>4.9770664584756511E-3</v>
      </c>
      <c r="V774" s="187">
        <f t="shared" si="216"/>
        <v>0</v>
      </c>
      <c r="W774" s="187">
        <f t="shared" si="217"/>
        <v>0</v>
      </c>
      <c r="X774" s="187">
        <f t="shared" si="218"/>
        <v>0</v>
      </c>
      <c r="Y774" s="187">
        <f t="shared" si="219"/>
        <v>0</v>
      </c>
      <c r="Z774" s="187">
        <f t="shared" si="220"/>
        <v>0.08</v>
      </c>
      <c r="AA774" s="183">
        <f t="shared" si="221"/>
        <v>0</v>
      </c>
      <c r="AB774" s="187">
        <f t="shared" si="222"/>
        <v>0</v>
      </c>
      <c r="AC774" s="183">
        <f t="shared" si="223"/>
        <v>0</v>
      </c>
      <c r="AD774" s="188">
        <f t="shared" si="224"/>
        <v>0.27708333333430346</v>
      </c>
      <c r="AE774" s="188">
        <f t="shared" si="225"/>
        <v>0.27708333333430346</v>
      </c>
      <c r="AF774" s="188">
        <f t="shared" si="226"/>
        <v>0</v>
      </c>
      <c r="AG774" s="188">
        <f t="shared" si="227"/>
        <v>0</v>
      </c>
    </row>
    <row r="775" spans="2:33" ht="15" customHeight="1" x14ac:dyDescent="0.15">
      <c r="B775" s="174" t="s">
        <v>7</v>
      </c>
      <c r="C775" s="175" t="s">
        <v>13</v>
      </c>
      <c r="D775" s="176" t="str">
        <f t="shared" si="209"/>
        <v>C</v>
      </c>
      <c r="E775" s="177" t="d">
        <v>2021-01-04T10:30:00.000</v>
      </c>
      <c r="F775" s="178" t="s">
        <v>103</v>
      </c>
      <c r="G775" s="179">
        <v>102.831</v>
      </c>
      <c r="H775" s="179">
        <v>102.989</v>
      </c>
      <c r="I775" s="180">
        <f t="shared" si="210"/>
        <v>0.15800000000000125</v>
      </c>
      <c r="J775" s="179">
        <v>101.836</v>
      </c>
      <c r="K775" s="177" t="d">
        <v>2021-01-04T14:17:59.9999999580904875</v>
      </c>
      <c r="L775" s="179">
        <v>102.925</v>
      </c>
      <c r="M775" s="181">
        <f t="shared" si="211"/>
        <v>-9.4E-2</v>
      </c>
      <c r="N775" s="182">
        <f t="shared" si="212"/>
        <v>-0.59</v>
      </c>
      <c r="O775" s="183">
        <f t="shared" si="213"/>
        <v>0</v>
      </c>
      <c r="P775" s="184">
        <f t="shared" si="214"/>
        <v>0</v>
      </c>
      <c r="Q775" s="184">
        <f t="shared" si="215"/>
        <v>-0.59</v>
      </c>
      <c r="R775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5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25470</v>
      </c>
      <c r="T775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25617.5</v>
      </c>
      <c r="U775" s="186">
        <f ca="1">IF(Tabla33610673[[#This Row],[Equity]]&lt;Tabla33610673[[#This Row],[Equity Peak]],(Tabla33610673[[#This Row],[Equity Peak]]-Tabla33610673[[#This Row],[Equity]])/Tabla33610673[[#This Row],[Equity Peak]],"")</f>
        <v>5.7577827656875181E-3</v>
      </c>
      <c r="V775" s="187">
        <f t="shared" si="216"/>
        <v>-0.59</v>
      </c>
      <c r="W775" s="187">
        <f t="shared" si="217"/>
        <v>0</v>
      </c>
      <c r="X775" s="187">
        <f t="shared" si="218"/>
        <v>0</v>
      </c>
      <c r="Y775" s="187">
        <f t="shared" si="219"/>
        <v>0</v>
      </c>
      <c r="Z775" s="187">
        <f t="shared" si="220"/>
        <v>0</v>
      </c>
      <c r="AA775" s="183">
        <f t="shared" si="221"/>
        <v>0</v>
      </c>
      <c r="AB775" s="187">
        <f t="shared" si="222"/>
        <v>0</v>
      </c>
      <c r="AC775" s="183">
        <f t="shared" si="223"/>
        <v>0</v>
      </c>
      <c r="AD775" s="188">
        <f t="shared" si="224"/>
        <v>0.15833333333284827</v>
      </c>
      <c r="AE775" s="188">
        <f t="shared" si="225"/>
        <v>0</v>
      </c>
      <c r="AF775" s="188">
        <f t="shared" si="226"/>
        <v>0.15833333333284827</v>
      </c>
      <c r="AG775" s="188">
        <f t="shared" si="227"/>
        <v>0</v>
      </c>
    </row>
    <row r="776" spans="2:33" ht="15" customHeight="1" x14ac:dyDescent="0.15">
      <c r="B776" s="174" t="s">
        <v>19</v>
      </c>
      <c r="C776" s="175" t="s">
        <v>15</v>
      </c>
      <c r="D776" s="176" t="str">
        <f t="shared" si="209"/>
        <v>C</v>
      </c>
      <c r="E776" s="177" t="d">
        <v>2021-01-04T01:15:00.00000020954757600</v>
      </c>
      <c r="F776" s="178" t="s">
        <v>77</v>
      </c>
      <c r="G776" s="179">
        <v>1908.94</v>
      </c>
      <c r="H776" s="179">
        <v>1903.11</v>
      </c>
      <c r="I776" s="180">
        <f t="shared" si="210"/>
        <v>5.8300000000001546</v>
      </c>
      <c r="J776" s="179">
        <v>1936.93</v>
      </c>
      <c r="K776" s="177" t="d">
        <v>2021-01-04T12:24:00.00000029336660775</v>
      </c>
      <c r="L776" s="179">
        <v>1929.17</v>
      </c>
      <c r="M776" s="181">
        <f t="shared" si="211"/>
        <v>20.23</v>
      </c>
      <c r="N776" s="182">
        <f t="shared" si="212"/>
        <v>3.47</v>
      </c>
      <c r="O776" s="183">
        <f t="shared" si="213"/>
        <v>0</v>
      </c>
      <c r="P776" s="184">
        <f t="shared" si="214"/>
        <v>3.47</v>
      </c>
      <c r="Q776" s="184">
        <f t="shared" si="215"/>
        <v>0</v>
      </c>
      <c r="R776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6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25617.5</v>
      </c>
      <c r="T776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25617.5</v>
      </c>
      <c r="U776" s="186" t="str">
        <f ca="1">IF(Tabla33610673[[#This Row],[Equity]]&lt;Tabla33610673[[#This Row],[Equity Peak]],(Tabla33610673[[#This Row],[Equity Peak]]-Tabla33610673[[#This Row],[Equity]])/Tabla33610673[[#This Row],[Equity Peak]],"")</f>
        <v/>
      </c>
      <c r="V776" s="187">
        <f t="shared" si="216"/>
        <v>0</v>
      </c>
      <c r="W776" s="187">
        <f t="shared" si="217"/>
        <v>0</v>
      </c>
      <c r="X776" s="187">
        <f t="shared" si="218"/>
        <v>3.47</v>
      </c>
      <c r="Y776" s="187">
        <f t="shared" si="219"/>
        <v>0</v>
      </c>
      <c r="Z776" s="187">
        <f t="shared" si="220"/>
        <v>0</v>
      </c>
      <c r="AA776" s="183">
        <f t="shared" si="221"/>
        <v>0</v>
      </c>
      <c r="AB776" s="187">
        <f t="shared" si="222"/>
        <v>0</v>
      </c>
      <c r="AC776" s="183">
        <f t="shared" si="223"/>
        <v>0</v>
      </c>
      <c r="AD776" s="188">
        <f t="shared" si="224"/>
        <v>0.46458333333430346</v>
      </c>
      <c r="AE776" s="188">
        <f t="shared" si="225"/>
        <v>0.46458333333430346</v>
      </c>
      <c r="AF776" s="188">
        <f t="shared" si="226"/>
        <v>0</v>
      </c>
      <c r="AG776" s="188">
        <f t="shared" si="227"/>
        <v>0</v>
      </c>
    </row>
    <row r="777" spans="2:33" ht="15" customHeight="1" x14ac:dyDescent="0.15">
      <c r="B777" s="174" t="s">
        <v>7</v>
      </c>
      <c r="C777" s="175" t="s">
        <v>15</v>
      </c>
      <c r="D777" s="176" t="str">
        <f t="shared" si="209"/>
        <v>C</v>
      </c>
      <c r="E777" s="177" t="d">
        <v>2021-01-04T01:44:59.99999979045242400</v>
      </c>
      <c r="F777" s="178" t="s">
        <v>102</v>
      </c>
      <c r="G777" s="179">
        <v>141.303</v>
      </c>
      <c r="H777" s="179">
        <v>140.958</v>
      </c>
      <c r="I777" s="180">
        <f t="shared" si="210"/>
        <v>0.34499999999999886</v>
      </c>
      <c r="J777" s="179">
        <v>143.14500000000001</v>
      </c>
      <c r="K777" s="177" t="d">
        <v>2021-01-04T02:22:00.00000011175870900</v>
      </c>
      <c r="L777" s="179">
        <v>140.958</v>
      </c>
      <c r="M777" s="181">
        <f t="shared" si="211"/>
        <v>-0.34499999999999997</v>
      </c>
      <c r="N777" s="182">
        <f t="shared" si="212"/>
        <v>-1</v>
      </c>
      <c r="O777" s="183">
        <f t="shared" si="213"/>
        <v>0</v>
      </c>
      <c r="P777" s="184">
        <f t="shared" si="214"/>
        <v>0</v>
      </c>
      <c r="Q777" s="184">
        <f t="shared" si="215"/>
        <v>-1</v>
      </c>
      <c r="R777" s="184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Yes</v>
      </c>
      <c r="S777" s="185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24750</v>
      </c>
      <c r="T777" s="185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25000</v>
      </c>
      <c r="U777" s="186">
        <f ca="1">IF(Tabla33610673[[#This Row],[Equity]]&lt;Tabla33610673[[#This Row],[Equity Peak]],(Tabla33610673[[#This Row],[Equity Peak]]-Tabla33610673[[#This Row],[Equity]])/Tabla33610673[[#This Row],[Equity Peak]],"")</f>
        <v>0.01</v>
      </c>
      <c r="V777" s="187">
        <f t="shared" si="216"/>
        <v>-1</v>
      </c>
      <c r="W777" s="187">
        <f t="shared" si="217"/>
        <v>0</v>
      </c>
      <c r="X777" s="187">
        <f t="shared" si="218"/>
        <v>0</v>
      </c>
      <c r="Y777" s="187">
        <f t="shared" si="219"/>
        <v>0</v>
      </c>
      <c r="Z777" s="187">
        <f t="shared" si="220"/>
        <v>0</v>
      </c>
      <c r="AA777" s="183">
        <f t="shared" si="221"/>
        <v>0</v>
      </c>
      <c r="AB777" s="187">
        <f t="shared" si="222"/>
        <v>0</v>
      </c>
      <c r="AC777" s="183">
        <f t="shared" si="223"/>
        <v>0</v>
      </c>
      <c r="AD777" s="188">
        <f t="shared" si="224"/>
        <v>2.5694444448163267E-2</v>
      </c>
      <c r="AE777" s="188">
        <f t="shared" si="225"/>
        <v>0</v>
      </c>
      <c r="AF777" s="188">
        <f t="shared" si="226"/>
        <v>2.5694444448163267E-2</v>
      </c>
      <c r="AG777" s="188">
        <f t="shared" si="227"/>
        <v>0</v>
      </c>
    </row>
  </sheetData>
  <sheetProtection algorithmName="SHA-512" hashValue="oLBSz+wzXuAxa6mKzGL7IPg/naNm0RJY2lWTa8MrLSJNm1UkuAik46ZGHV4aNZc7sio/HLmNcck/0XC7DjsO7g==" saltValue="jkETg/Fw5ePpriMqvtjoxw==" spinCount="100000" sheet="1" objects="1" scenarios="1" selectLockedCells="1"/>
  <mergeCells count="11">
    <mergeCell ref="E2:N5"/>
    <mergeCell ref="L8:M8"/>
    <mergeCell ref="H11:I11"/>
    <mergeCell ref="H12:I12"/>
    <mergeCell ref="AD12:AG12"/>
    <mergeCell ref="L6:M7"/>
    <mergeCell ref="N6:N7"/>
    <mergeCell ref="I7:I9"/>
    <mergeCell ref="J7:J9"/>
    <mergeCell ref="L9:M9"/>
    <mergeCell ref="L10:M10"/>
  </mergeCells>
  <conditionalFormatting sqref="X9">
    <cfRule type="cellIs" dxfId="335" priority="3" operator="equal">
      <formula>"OK"</formula>
    </cfRule>
    <cfRule type="cellIs" dxfId="334" priority="4" operator="equal">
      <formula>"warning"</formula>
    </cfRule>
  </conditionalFormatting>
  <conditionalFormatting sqref="F13">
    <cfRule type="cellIs" dxfId="333" priority="1" operator="equal">
      <formula>"OK"</formula>
    </cfRule>
    <cfRule type="cellIs" dxfId="332" priority="2" operator="equal">
      <formula>"Error!!"</formula>
    </cfRule>
  </conditionalFormatting>
  <conditionalFormatting sqref="E15:H15 K15:L15">
    <cfRule type="expression" dxfId="331" priority="5">
      <formula>+$D15=#REF!</formula>
    </cfRule>
    <cfRule type="expression" dxfId="330" priority="6">
      <formula>+$D15=#REF!</formula>
    </cfRule>
  </conditionalFormatting>
  <conditionalFormatting sqref="D15 K16:L16 D16:H777 J17:L777">
    <cfRule type="expression" dxfId="329" priority="9">
      <formula>+$D15=$AG$8</formula>
    </cfRule>
    <cfRule type="expression" dxfId="328" priority="10">
      <formula>+$D15=$AG$9</formula>
    </cfRule>
  </conditionalFormatting>
  <dataValidations count="3">
    <dataValidation type="list" allowBlank="1" showInputMessage="1" showErrorMessage="1" promptTitle="Trade Direction" prompt="Select from List" sqref="C15:C17" xr:uid="{020A4BBE-4A54-4F2D-9269-EC2E91A4487B}">
      <formula1>$AG$4:$AG$5</formula1>
    </dataValidation>
    <dataValidation type="list" allowBlank="1" showInputMessage="1" showErrorMessage="1" promptTitle="Instrument Type" prompt="Select Type from List_x000a_" sqref="B15:B16" xr:uid="{81CB297B-3E19-4342-BA62-629C5730D696}">
      <formula1>$AE$4:$AE$6</formula1>
    </dataValidation>
    <dataValidation type="list" allowBlank="1" showInputMessage="1" showErrorMessage="1" promptTitle="Instrument Type" prompt="Select Type from List_x000a_" sqref="B17:B777" xr:uid="{EC12D098-1306-40F5-8A86-DDB8717308A2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765D3-130E-4EA9-8373-10998DD103F2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22"/>
  <sheetViews>
    <sheetView showGridLines="0" workbookViewId="0">
      <selection activeCell="E33" sqref="E33"/>
    </sheetView>
  </sheetViews>
  <sheetFormatPr baseColWidth="10" defaultColWidth="8.83203125" defaultRowHeight="13" x14ac:dyDescent="0.15"/>
  <cols>
    <col min="1" max="1" width="13" customWidth="1"/>
    <col min="2" max="2" width="12.33203125" customWidth="1"/>
  </cols>
  <sheetData>
    <row r="1" spans="1:2" x14ac:dyDescent="0.15">
      <c r="A1" t="s">
        <v>67</v>
      </c>
      <c r="B1" t="s">
        <v>68</v>
      </c>
    </row>
    <row r="2" spans="1:2" ht="16" x14ac:dyDescent="0.2">
      <c r="A2" s="83" t="s">
        <v>70</v>
      </c>
      <c r="B2" s="83" t="s">
        <v>7</v>
      </c>
    </row>
    <row r="3" spans="1:2" ht="16" x14ac:dyDescent="0.2">
      <c r="A3" s="83" t="s">
        <v>72</v>
      </c>
      <c r="B3" s="83" t="s">
        <v>7</v>
      </c>
    </row>
    <row r="4" spans="1:2" ht="16" x14ac:dyDescent="0.2">
      <c r="A4" s="83" t="s">
        <v>85</v>
      </c>
      <c r="B4" s="83" t="s">
        <v>7</v>
      </c>
    </row>
    <row r="5" spans="1:2" ht="16" x14ac:dyDescent="0.2">
      <c r="A5" s="83" t="s">
        <v>86</v>
      </c>
      <c r="B5" s="83" t="s">
        <v>7</v>
      </c>
    </row>
    <row r="6" spans="1:2" ht="16" x14ac:dyDescent="0.2">
      <c r="A6" s="83" t="s">
        <v>87</v>
      </c>
      <c r="B6" s="83" t="s">
        <v>7</v>
      </c>
    </row>
    <row r="7" spans="1:2" ht="16" x14ac:dyDescent="0.2">
      <c r="A7" s="83" t="s">
        <v>88</v>
      </c>
      <c r="B7" s="83" t="s">
        <v>7</v>
      </c>
    </row>
    <row r="8" spans="1:2" ht="16" x14ac:dyDescent="0.2">
      <c r="A8" s="83" t="s">
        <v>89</v>
      </c>
      <c r="B8" s="83" t="s">
        <v>7</v>
      </c>
    </row>
    <row r="9" spans="1:2" ht="16" x14ac:dyDescent="0.2">
      <c r="A9" s="83" t="s">
        <v>74</v>
      </c>
      <c r="B9" s="83" t="s">
        <v>7</v>
      </c>
    </row>
    <row r="10" spans="1:2" ht="16" x14ac:dyDescent="0.2">
      <c r="A10" s="83" t="s">
        <v>90</v>
      </c>
      <c r="B10" s="83" t="s">
        <v>7</v>
      </c>
    </row>
    <row r="11" spans="1:2" ht="16" x14ac:dyDescent="0.2">
      <c r="A11" s="83" t="s">
        <v>91</v>
      </c>
      <c r="B11" s="83" t="s">
        <v>7</v>
      </c>
    </row>
    <row r="12" spans="1:2" ht="16" x14ac:dyDescent="0.2">
      <c r="A12" s="83" t="s">
        <v>77</v>
      </c>
      <c r="B12" s="83" t="s">
        <v>19</v>
      </c>
    </row>
    <row r="13" spans="1:2" ht="16" x14ac:dyDescent="0.2">
      <c r="A13" s="83" t="s">
        <v>78</v>
      </c>
      <c r="B13" s="83" t="s">
        <v>19</v>
      </c>
    </row>
    <row r="14" spans="1:2" ht="16" x14ac:dyDescent="0.2">
      <c r="A14" s="83" t="s">
        <v>97</v>
      </c>
      <c r="B14" s="83" t="s">
        <v>19</v>
      </c>
    </row>
    <row r="15" spans="1:2" ht="16" x14ac:dyDescent="0.2">
      <c r="A15" s="83" t="s">
        <v>69</v>
      </c>
      <c r="B15" s="83" t="s">
        <v>73</v>
      </c>
    </row>
    <row r="16" spans="1:2" ht="16" x14ac:dyDescent="0.2">
      <c r="A16" s="83" t="s">
        <v>71</v>
      </c>
      <c r="B16" s="83" t="s">
        <v>73</v>
      </c>
    </row>
    <row r="17" spans="1:2" ht="16" x14ac:dyDescent="0.2">
      <c r="A17" s="83" t="s">
        <v>79</v>
      </c>
      <c r="B17" s="83" t="s">
        <v>5</v>
      </c>
    </row>
    <row r="18" spans="1:2" ht="16" x14ac:dyDescent="0.2">
      <c r="A18" s="83" t="s">
        <v>80</v>
      </c>
      <c r="B18" s="83" t="s">
        <v>5</v>
      </c>
    </row>
    <row r="19" spans="1:2" ht="16" x14ac:dyDescent="0.2">
      <c r="A19" s="83" t="s">
        <v>81</v>
      </c>
      <c r="B19" s="83" t="s">
        <v>5</v>
      </c>
    </row>
    <row r="20" spans="1:2" ht="16" x14ac:dyDescent="0.2">
      <c r="A20" s="83" t="s">
        <v>82</v>
      </c>
      <c r="B20" s="83" t="s">
        <v>5</v>
      </c>
    </row>
    <row r="21" spans="1:2" ht="16" x14ac:dyDescent="0.2">
      <c r="A21" s="83" t="s">
        <v>83</v>
      </c>
      <c r="B21" s="83" t="s">
        <v>5</v>
      </c>
    </row>
    <row r="22" spans="1:2" ht="16" x14ac:dyDescent="0.2">
      <c r="A22" s="83" t="s">
        <v>84</v>
      </c>
      <c r="B22" s="83" t="s">
        <v>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8305-4423-48B9-A9D5-D92FFD59A85A}">
  <sheetPr codeName="Hoja11">
    <pageSetUpPr fitToPage="1"/>
  </sheetPr>
  <dimension ref="A1:AX17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B17" sqref="B17:B58"/>
    </sheetView>
  </sheetViews>
  <sheetFormatPr baseColWidth="10" defaultColWidth="0" defaultRowHeight="15" customHeight="1" x14ac:dyDescent="0.15"/>
  <cols>
    <col min="1" max="1" width="2.33203125" style="117" customWidth="1"/>
    <col min="2" max="2" width="10.33203125" style="88" customWidth="1"/>
    <col min="3" max="3" width="12.6640625" style="90" customWidth="1"/>
    <col min="4" max="4" width="8.6640625" style="91" customWidth="1"/>
    <col min="5" max="5" width="13.6640625" style="107" customWidth="1"/>
    <col min="6" max="6" width="8.33203125" style="88" customWidth="1"/>
    <col min="7" max="7" width="10.6640625" style="88" bestFit="1" customWidth="1"/>
    <col min="8" max="8" width="9.83203125" style="88" bestFit="1" customWidth="1"/>
    <col min="9" max="9" width="15.33203125" style="88" customWidth="1"/>
    <col min="10" max="10" width="12.83203125" style="88" customWidth="1"/>
    <col min="11" max="11" width="12.6640625" style="107" customWidth="1"/>
    <col min="12" max="12" width="10.33203125" style="88" customWidth="1"/>
    <col min="13" max="13" width="10.1640625" style="89" customWidth="1"/>
    <col min="14" max="14" width="12.1640625" style="89" customWidth="1"/>
    <col min="15" max="15" width="8.6640625" style="89" hidden="1" customWidth="1"/>
    <col min="16" max="16" width="10.33203125" style="89" customWidth="1"/>
    <col min="17" max="17" width="11" style="89" customWidth="1"/>
    <col min="18" max="18" width="11" style="89" hidden="1" customWidth="1"/>
    <col min="19" max="20" width="11" style="96" hidden="1" customWidth="1"/>
    <col min="21" max="21" width="11" style="102" hidden="1" customWidth="1"/>
    <col min="22" max="22" width="9.33203125" style="89" bestFit="1" customWidth="1"/>
    <col min="23" max="23" width="9.33203125" style="89" hidden="1" customWidth="1"/>
    <col min="24" max="24" width="7.6640625" style="89" customWidth="1"/>
    <col min="25" max="25" width="9.33203125" style="89" hidden="1" customWidth="1"/>
    <col min="26" max="26" width="8.1640625" style="89" bestFit="1" customWidth="1"/>
    <col min="27" max="27" width="8.33203125" style="89" hidden="1" customWidth="1"/>
    <col min="28" max="28" width="8.1640625" style="89" customWidth="1"/>
    <col min="29" max="29" width="8.1640625" style="89" hidden="1" customWidth="1"/>
    <col min="30" max="30" width="9.6640625" style="89" customWidth="1"/>
    <col min="31" max="31" width="8.1640625" style="89" customWidth="1"/>
    <col min="32" max="32" width="8" style="89" customWidth="1"/>
    <col min="33" max="33" width="6.6640625" style="88" customWidth="1"/>
    <col min="34" max="34" width="2.5" style="117" customWidth="1"/>
    <col min="35" max="35" width="7.33203125" style="87" hidden="1" customWidth="1"/>
    <col min="36" max="41" width="2.6640625" style="88" hidden="1" customWidth="1"/>
    <col min="42" max="42" width="4.6640625" style="88" hidden="1" customWidth="1"/>
    <col min="43" max="43" width="7.6640625" style="88" hidden="1" customWidth="1"/>
    <col min="44" max="44" width="8.6640625" style="88" hidden="1" customWidth="1"/>
    <col min="45" max="45" width="12.33203125" style="88" hidden="1" customWidth="1"/>
    <col min="46" max="46" width="2.1640625" style="88" hidden="1" customWidth="1"/>
    <col min="47" max="47" width="2.6640625" style="88" hidden="1" customWidth="1"/>
    <col min="48" max="50" width="39.33203125" style="88" hidden="1" customWidth="1"/>
    <col min="51" max="16384" width="2.6640625" style="88" hidden="1"/>
  </cols>
  <sheetData>
    <row r="1" spans="1:48" s="87" customFormat="1" ht="15" customHeight="1" x14ac:dyDescent="0.15">
      <c r="A1" s="116"/>
      <c r="B1" s="119"/>
      <c r="C1" s="118"/>
      <c r="D1" s="118"/>
      <c r="E1" s="120"/>
      <c r="F1" s="116"/>
      <c r="G1" s="116"/>
      <c r="H1" s="116"/>
      <c r="I1" s="116"/>
      <c r="J1" s="116"/>
      <c r="K1" s="120"/>
      <c r="L1" s="121"/>
      <c r="M1" s="122"/>
      <c r="N1" s="122"/>
      <c r="O1" s="2"/>
      <c r="P1" s="134"/>
      <c r="Q1" s="134"/>
      <c r="R1" s="134"/>
      <c r="S1" s="135"/>
      <c r="T1" s="135"/>
      <c r="U1" s="136"/>
      <c r="V1" s="134"/>
      <c r="W1" s="134"/>
      <c r="X1" s="134"/>
      <c r="Y1" s="134"/>
      <c r="Z1" s="134"/>
      <c r="AA1" s="134"/>
      <c r="AB1" s="147"/>
      <c r="AC1" s="1"/>
      <c r="AD1" s="147"/>
      <c r="AE1" s="147"/>
      <c r="AF1" s="147"/>
      <c r="AG1" s="147"/>
      <c r="AH1" s="147"/>
    </row>
    <row r="2" spans="1:48" ht="15" customHeight="1" thickBot="1" x14ac:dyDescent="0.2">
      <c r="B2" s="117"/>
      <c r="C2" s="118"/>
      <c r="D2" s="123"/>
      <c r="E2" s="189" t="s">
        <v>66</v>
      </c>
      <c r="F2" s="189"/>
      <c r="G2" s="189"/>
      <c r="H2" s="189"/>
      <c r="I2" s="189"/>
      <c r="J2" s="189"/>
      <c r="K2" s="189"/>
      <c r="L2" s="189"/>
      <c r="M2" s="189"/>
      <c r="N2" s="189"/>
      <c r="O2" s="115"/>
      <c r="P2" s="137"/>
      <c r="Q2" s="137"/>
      <c r="R2" s="138"/>
      <c r="S2" s="139"/>
      <c r="T2" s="139"/>
      <c r="U2" s="140"/>
      <c r="V2" s="141"/>
      <c r="W2" s="141"/>
      <c r="X2" s="141"/>
      <c r="Y2" s="141"/>
      <c r="Z2" s="141"/>
      <c r="AA2" s="141"/>
      <c r="AB2" s="141"/>
      <c r="AC2" s="3"/>
      <c r="AD2" s="147"/>
      <c r="AE2" s="147"/>
      <c r="AF2" s="147"/>
      <c r="AG2" s="147"/>
      <c r="AH2" s="141"/>
    </row>
    <row r="3" spans="1:48" ht="15" customHeight="1" thickBot="1" x14ac:dyDescent="0.2">
      <c r="B3" s="117"/>
      <c r="C3" s="124"/>
      <c r="D3" s="123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15"/>
      <c r="P3" s="137"/>
      <c r="Q3" s="137"/>
      <c r="R3" s="138"/>
      <c r="S3" s="139"/>
      <c r="T3" s="139"/>
      <c r="U3" s="140"/>
      <c r="V3" s="141"/>
      <c r="W3" s="141"/>
      <c r="X3" s="141"/>
      <c r="Y3" s="141"/>
      <c r="Z3" s="141"/>
      <c r="AA3" s="141"/>
      <c r="AB3" s="141"/>
      <c r="AC3" s="3"/>
      <c r="AD3" s="4" t="s">
        <v>76</v>
      </c>
      <c r="AE3" s="5"/>
      <c r="AF3" s="4" t="s">
        <v>17</v>
      </c>
      <c r="AG3" s="6"/>
    </row>
    <row r="4" spans="1:48" ht="15" customHeight="1" x14ac:dyDescent="0.15">
      <c r="B4" s="117"/>
      <c r="C4" s="124"/>
      <c r="D4" s="123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15"/>
      <c r="P4" s="137"/>
      <c r="Q4" s="137"/>
      <c r="R4" s="138"/>
      <c r="S4" s="139"/>
      <c r="T4" s="139"/>
      <c r="U4" s="140"/>
      <c r="V4" s="141"/>
      <c r="W4" s="141"/>
      <c r="X4" s="141"/>
      <c r="Y4" s="141"/>
      <c r="Z4" s="141"/>
      <c r="AA4" s="141"/>
      <c r="AB4" s="141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88">
        <f>+IF(F13="OK",1,0)</f>
        <v>1</v>
      </c>
    </row>
    <row r="5" spans="1:48" ht="15" customHeight="1" thickBot="1" x14ac:dyDescent="0.2">
      <c r="B5" s="117"/>
      <c r="C5" s="124"/>
      <c r="D5" s="123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15"/>
      <c r="P5" s="137"/>
      <c r="Q5" s="137"/>
      <c r="R5" s="138"/>
      <c r="S5" s="139"/>
      <c r="T5" s="139"/>
      <c r="U5" s="140"/>
      <c r="V5" s="148" t="s">
        <v>7</v>
      </c>
      <c r="W5" s="134"/>
      <c r="X5" s="148" t="s">
        <v>6</v>
      </c>
      <c r="Y5" s="149"/>
      <c r="Z5" s="148" t="s">
        <v>5</v>
      </c>
      <c r="AA5" s="149"/>
      <c r="AB5" s="148" t="s">
        <v>73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88">
        <f>+IF(AS4=1,0,1)</f>
        <v>0</v>
      </c>
    </row>
    <row r="6" spans="1:48" ht="33" customHeight="1" thickBot="1" x14ac:dyDescent="0.2">
      <c r="B6" s="117"/>
      <c r="C6" s="124"/>
      <c r="D6" s="125"/>
      <c r="E6" s="108" t="s">
        <v>10</v>
      </c>
      <c r="F6" s="14">
        <f>COUNTA(Tabla3361067348[Inst])</f>
        <v>0</v>
      </c>
      <c r="G6" s="15" t="s">
        <v>9</v>
      </c>
      <c r="H6" s="15" t="s">
        <v>8</v>
      </c>
      <c r="I6" s="15" t="s">
        <v>61</v>
      </c>
      <c r="J6" s="77" t="s">
        <v>62</v>
      </c>
      <c r="K6" s="127"/>
      <c r="L6" s="199" t="s">
        <v>100</v>
      </c>
      <c r="M6" s="200"/>
      <c r="N6" s="203">
        <f>N13</f>
        <v>0</v>
      </c>
      <c r="O6" s="16"/>
      <c r="P6" s="141"/>
      <c r="Q6" s="142" t="s">
        <v>47</v>
      </c>
      <c r="R6" s="142"/>
      <c r="S6" s="143"/>
      <c r="T6" s="143"/>
      <c r="U6" s="144"/>
      <c r="V6" s="17">
        <f>+V13</f>
        <v>0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84"/>
      <c r="AD6" s="11" t="s">
        <v>18</v>
      </c>
      <c r="AE6" s="12" t="s">
        <v>5</v>
      </c>
      <c r="AF6" s="20"/>
      <c r="AG6" s="22"/>
    </row>
    <row r="7" spans="1:48" ht="15" customHeight="1" thickBot="1" x14ac:dyDescent="0.2">
      <c r="B7" s="117"/>
      <c r="C7" s="118"/>
      <c r="D7" s="117"/>
      <c r="E7" s="109" t="s">
        <v>4</v>
      </c>
      <c r="F7" s="23">
        <f>COUNTIF(Tabla3361067348[No. of Rs],"&gt;0")</f>
        <v>0</v>
      </c>
      <c r="G7" s="24" t="str">
        <f>IFERROR((F7/$F$6),"")</f>
        <v/>
      </c>
      <c r="H7" s="78" t="str">
        <f>IFERROR((+P13/F7),"")</f>
        <v/>
      </c>
      <c r="I7" s="205" t="e">
        <f>H7/H9</f>
        <v>#VALUE!</v>
      </c>
      <c r="J7" s="205" t="e">
        <f>AVERAGE(Tabla3361067348[No. of Rs])</f>
        <v>#DIV/0!</v>
      </c>
      <c r="K7" s="127"/>
      <c r="L7" s="201"/>
      <c r="M7" s="202"/>
      <c r="N7" s="204"/>
      <c r="O7" s="16"/>
      <c r="P7" s="141"/>
      <c r="Q7" s="142" t="s">
        <v>2</v>
      </c>
      <c r="R7" s="142"/>
      <c r="S7" s="143"/>
      <c r="T7" s="143"/>
      <c r="U7" s="144"/>
      <c r="V7" s="26" t="str">
        <f>IFERROR((V6/N6),"")</f>
        <v/>
      </c>
      <c r="W7" s="27"/>
      <c r="X7" s="26" t="str">
        <f>IFERROR((X6/N6),"")</f>
        <v/>
      </c>
      <c r="Y7" s="28"/>
      <c r="Z7" s="26" t="str">
        <f>IFERROR((Z6/N6),"")</f>
        <v/>
      </c>
      <c r="AA7" s="28"/>
      <c r="AB7" s="26" t="str">
        <f>IFERROR((AB6/N6),"")</f>
        <v/>
      </c>
      <c r="AC7" s="85"/>
      <c r="AD7" s="20" t="s">
        <v>75</v>
      </c>
      <c r="AE7" s="21" t="s">
        <v>73</v>
      </c>
      <c r="AF7" s="4" t="s">
        <v>37</v>
      </c>
      <c r="AG7" s="6"/>
    </row>
    <row r="8" spans="1:48" ht="23" customHeight="1" thickBot="1" x14ac:dyDescent="0.2">
      <c r="B8" s="117"/>
      <c r="C8" s="118"/>
      <c r="D8" s="117"/>
      <c r="E8" s="109" t="s">
        <v>3</v>
      </c>
      <c r="F8" s="23">
        <f>COUNTIF(Tabla3361067348[No. of Rs],"=0")</f>
        <v>0</v>
      </c>
      <c r="G8" s="24" t="str">
        <f>IFERROR((F8/$F$6),"")</f>
        <v/>
      </c>
      <c r="H8" s="78"/>
      <c r="I8" s="206"/>
      <c r="J8" s="206"/>
      <c r="K8" s="141"/>
      <c r="L8" s="190" t="s">
        <v>101</v>
      </c>
      <c r="M8" s="191"/>
      <c r="N8" s="173">
        <f ca="1">OFFSET(Tabla3361067348[[#Headers],[Equity]],1,0)</f>
        <v>0</v>
      </c>
      <c r="O8" s="16"/>
      <c r="P8" s="141"/>
      <c r="Q8" s="142" t="s">
        <v>63</v>
      </c>
      <c r="R8" s="142"/>
      <c r="S8" s="143"/>
      <c r="T8" s="143"/>
      <c r="U8" s="144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86"/>
      <c r="AD8" s="141"/>
      <c r="AE8" s="141"/>
      <c r="AF8" s="7" t="s">
        <v>31</v>
      </c>
      <c r="AG8" s="9" t="s">
        <v>33</v>
      </c>
    </row>
    <row r="9" spans="1:48" ht="15" customHeight="1" thickBot="1" x14ac:dyDescent="0.2">
      <c r="B9" s="117"/>
      <c r="C9" s="118"/>
      <c r="D9" s="126"/>
      <c r="E9" s="110" t="s">
        <v>1</v>
      </c>
      <c r="F9" s="31">
        <f>COUNTIF(Tabla3361067348[No. of Rs],"&lt;0")</f>
        <v>0</v>
      </c>
      <c r="G9" s="32" t="str">
        <f>IFERROR((F9/$F$6),"")</f>
        <v/>
      </c>
      <c r="H9" s="79" t="str">
        <f>IFERROR((-Q13/F9),"")</f>
        <v/>
      </c>
      <c r="I9" s="207"/>
      <c r="J9" s="207"/>
      <c r="K9" s="127"/>
      <c r="L9" s="208" t="s">
        <v>95</v>
      </c>
      <c r="M9" s="209"/>
      <c r="N9" s="103">
        <f>MAX(Tabla3361067348[Drawdown])</f>
        <v>0</v>
      </c>
      <c r="O9" s="16"/>
      <c r="P9" s="141"/>
      <c r="Q9" s="142" t="s">
        <v>60</v>
      </c>
      <c r="R9" s="142"/>
      <c r="S9" s="143"/>
      <c r="T9" s="143"/>
      <c r="U9" s="144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86"/>
      <c r="AD9" s="141"/>
      <c r="AE9" s="141"/>
      <c r="AF9" s="11" t="s">
        <v>32</v>
      </c>
      <c r="AG9" s="13" t="s">
        <v>34</v>
      </c>
    </row>
    <row r="10" spans="1:48" ht="15" customHeight="1" thickBot="1" x14ac:dyDescent="0.2">
      <c r="B10" s="117"/>
      <c r="C10" s="118"/>
      <c r="D10" s="126"/>
      <c r="E10" s="127"/>
      <c r="F10" s="117"/>
      <c r="G10" s="141"/>
      <c r="H10" s="141"/>
      <c r="I10" s="141"/>
      <c r="J10" s="141"/>
      <c r="K10" s="155"/>
      <c r="L10" s="208" t="s">
        <v>99</v>
      </c>
      <c r="M10" s="209"/>
      <c r="N10" s="103">
        <f ca="1">OFFSET(Tabla3361067348[[#Headers],[Drawdown]],1,0)</f>
        <v>0</v>
      </c>
      <c r="O10" s="25"/>
      <c r="P10" s="141"/>
      <c r="Q10" s="141"/>
      <c r="R10" s="141"/>
      <c r="S10" s="145"/>
      <c r="T10" s="145"/>
      <c r="U10" s="146"/>
      <c r="V10" s="37" t="s">
        <v>53</v>
      </c>
      <c r="W10" s="38"/>
      <c r="X10" s="38">
        <f>COUNTIF(Tabla3361067348[Heat],"&lt;0")</f>
        <v>0</v>
      </c>
      <c r="Y10" s="38"/>
      <c r="Z10" s="39" t="s">
        <v>54</v>
      </c>
      <c r="AA10" s="38"/>
      <c r="AB10" s="38"/>
      <c r="AC10" s="38"/>
      <c r="AD10" s="141"/>
      <c r="AE10" s="141"/>
      <c r="AF10" s="20"/>
      <c r="AG10" s="22"/>
    </row>
    <row r="11" spans="1:48" ht="15" customHeight="1" thickBot="1" x14ac:dyDescent="0.2">
      <c r="B11" s="117"/>
      <c r="C11" s="118"/>
      <c r="D11" s="126"/>
      <c r="E11" s="111" t="s">
        <v>64</v>
      </c>
      <c r="F11" s="81">
        <v>100000</v>
      </c>
      <c r="G11" s="141"/>
      <c r="H11" s="192" t="s">
        <v>46</v>
      </c>
      <c r="I11" s="193"/>
      <c r="J11" s="80">
        <v>12</v>
      </c>
      <c r="K11" s="141"/>
      <c r="L11" s="141"/>
      <c r="M11" s="141"/>
      <c r="N11" s="141"/>
      <c r="O11" s="141"/>
      <c r="P11" s="141"/>
      <c r="Q11" s="141"/>
      <c r="R11" s="141"/>
      <c r="S11" s="145"/>
      <c r="T11" s="145"/>
      <c r="U11" s="146"/>
      <c r="V11" s="141"/>
      <c r="W11" s="141"/>
      <c r="X11" s="141"/>
      <c r="Y11" s="141"/>
      <c r="Z11" s="141"/>
      <c r="AA11" s="141"/>
      <c r="AB11" s="141"/>
      <c r="AC11" s="3"/>
      <c r="AD11" s="153"/>
      <c r="AE11" s="153"/>
      <c r="AF11" s="153"/>
      <c r="AG11" s="141"/>
      <c r="AH11" s="141"/>
    </row>
    <row r="12" spans="1:48" ht="15" customHeight="1" thickBot="1" x14ac:dyDescent="0.2">
      <c r="B12" s="117"/>
      <c r="C12" s="118"/>
      <c r="D12" s="117"/>
      <c r="E12" s="128"/>
      <c r="F12" s="117"/>
      <c r="G12" s="141"/>
      <c r="H12" s="194" t="s">
        <v>65</v>
      </c>
      <c r="I12" s="195"/>
      <c r="J12" s="82" t="str">
        <f>IF(COUNTIFS(Tabla3361067348[O/C],"O")&lt;1,"None",COUNTIFS(Tabla3361067348[O/C],"O"))</f>
        <v>None</v>
      </c>
      <c r="K12" s="155"/>
      <c r="L12" s="117"/>
      <c r="M12" s="117"/>
      <c r="N12" s="117"/>
      <c r="O12" s="117"/>
      <c r="P12" s="117"/>
      <c r="Q12" s="117"/>
      <c r="R12" s="117"/>
      <c r="S12" s="132"/>
      <c r="T12" s="132"/>
      <c r="U12" s="133"/>
      <c r="V12" s="141"/>
      <c r="W12" s="150"/>
      <c r="X12" s="151"/>
      <c r="Y12" s="151"/>
      <c r="Z12" s="152"/>
      <c r="AA12" s="151"/>
      <c r="AB12" s="152"/>
      <c r="AC12" s="40"/>
      <c r="AD12" s="196" t="s">
        <v>42</v>
      </c>
      <c r="AE12" s="197"/>
      <c r="AF12" s="197"/>
      <c r="AG12" s="198"/>
      <c r="AP12" s="89"/>
      <c r="AQ12" s="89"/>
      <c r="AR12" s="89"/>
      <c r="AS12" s="89"/>
      <c r="AT12" s="89"/>
      <c r="AV12" s="88" t="s">
        <v>12</v>
      </c>
    </row>
    <row r="13" spans="1:48" ht="15" customHeight="1" thickBot="1" x14ac:dyDescent="0.2">
      <c r="B13" s="117"/>
      <c r="C13" s="118"/>
      <c r="D13" s="117"/>
      <c r="E13" s="112" t="s">
        <v>0</v>
      </c>
      <c r="F13" s="41" t="str">
        <f>IF((+F6-SUM(F7:F9))&lt;&gt;0,"ERROR!!","OK")</f>
        <v>OK</v>
      </c>
      <c r="G13" s="141"/>
      <c r="H13" s="141"/>
      <c r="I13" s="141"/>
      <c r="J13" s="156"/>
      <c r="K13" s="155"/>
      <c r="L13" s="117"/>
      <c r="M13" s="117"/>
      <c r="N13" s="74">
        <f>SUM(Tabla3361067348[No. of Rs])</f>
        <v>0</v>
      </c>
      <c r="O13" s="42">
        <f>SUM(Tabla3361067348[Heat])</f>
        <v>0</v>
      </c>
      <c r="P13" s="43">
        <f>SUM(Tabla3361067348[[ TR WIN]])</f>
        <v>0</v>
      </c>
      <c r="Q13" s="43">
        <f>SUM(Tabla3361067348[[ TR LOSS]])</f>
        <v>0</v>
      </c>
      <c r="R13" s="92"/>
      <c r="S13" s="93"/>
      <c r="T13" s="93"/>
      <c r="U13" s="99"/>
      <c r="V13" s="44">
        <f>SUM(Tabla3361067348[Currency])</f>
        <v>0</v>
      </c>
      <c r="W13" s="44">
        <f>SUM(Tabla3361067348[Heat3])</f>
        <v>0</v>
      </c>
      <c r="X13" s="44">
        <f>SUM(Tabla3361067348[Commodities])</f>
        <v>0</v>
      </c>
      <c r="Y13" s="44">
        <f>SUM(Tabla3361067348[Heat4])</f>
        <v>0</v>
      </c>
      <c r="Z13" s="44">
        <f>SUM(Tabla3361067348[Index])</f>
        <v>0</v>
      </c>
      <c r="AA13" s="44">
        <f>SUM(Tabla3361067348[Heat5])</f>
        <v>0</v>
      </c>
      <c r="AB13" s="44">
        <f>SUM(Tabla3361067348[Cryptocurrency])</f>
        <v>0</v>
      </c>
      <c r="AC13" s="44">
        <f>SUM(Tabla3361067348[Heat6])</f>
        <v>0</v>
      </c>
      <c r="AD13" s="75" t="e">
        <f>AVERAGEIF(Tabla3361067348[Length of 
Trade],"&lt;&gt;0")</f>
        <v>#DIV/0!</v>
      </c>
      <c r="AE13" s="75" t="e">
        <f>AVERAGEIF(Tabla3361067348[Win],"&lt;&gt;0")</f>
        <v>#DIV/0!</v>
      </c>
      <c r="AF13" s="75" t="e">
        <f>AVERAGEIF(Tabla3361067348[Loss],"&lt;&gt;0")</f>
        <v>#DIV/0!</v>
      </c>
      <c r="AG13" s="76" t="e">
        <f>AVERAGEIF(Tabla3361067348[Breakeven],"&lt;&gt;0")</f>
        <v>#DIV/0!</v>
      </c>
      <c r="AP13" s="89"/>
      <c r="AV13" s="88" t="s">
        <v>11</v>
      </c>
    </row>
    <row r="14" spans="1:48" ht="15" customHeight="1" thickBot="1" x14ac:dyDescent="0.2">
      <c r="B14" s="117"/>
      <c r="C14" s="118"/>
      <c r="D14" s="117"/>
      <c r="E14" s="127"/>
      <c r="F14" s="129"/>
      <c r="G14" s="157"/>
      <c r="H14" s="157"/>
      <c r="I14" s="157"/>
      <c r="J14" s="157"/>
      <c r="K14" s="158"/>
      <c r="L14" s="129"/>
      <c r="M14" s="129"/>
      <c r="N14" s="129"/>
      <c r="O14" s="129"/>
      <c r="P14" s="129"/>
      <c r="Q14" s="129"/>
      <c r="R14" s="129"/>
      <c r="S14" s="130"/>
      <c r="T14" s="130"/>
      <c r="U14" s="131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</row>
    <row r="15" spans="1:48" s="90" customFormat="1" ht="43" thickBot="1" x14ac:dyDescent="0.2">
      <c r="A15" s="118"/>
      <c r="B15" s="45" t="s">
        <v>29</v>
      </c>
      <c r="C15" s="46" t="s">
        <v>28</v>
      </c>
      <c r="D15" s="45" t="s">
        <v>35</v>
      </c>
      <c r="E15" s="113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05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97" t="s">
        <v>98</v>
      </c>
      <c r="S15" s="94" t="s">
        <v>93</v>
      </c>
      <c r="T15" s="104" t="s">
        <v>96</v>
      </c>
      <c r="U15" s="100" t="s">
        <v>94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75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18"/>
      <c r="AI15" s="87"/>
    </row>
    <row r="16" spans="1:48" s="90" customFormat="1" ht="42" hidden="1" x14ac:dyDescent="0.15">
      <c r="A16" s="118"/>
      <c r="B16" s="60" t="s">
        <v>29</v>
      </c>
      <c r="C16" s="61" t="s">
        <v>28</v>
      </c>
      <c r="D16" s="62" t="s">
        <v>35</v>
      </c>
      <c r="E16" s="114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06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98" t="s">
        <v>98</v>
      </c>
      <c r="S16" s="95" t="s">
        <v>93</v>
      </c>
      <c r="T16" s="95" t="s">
        <v>96</v>
      </c>
      <c r="U16" s="101" t="s">
        <v>94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75</v>
      </c>
      <c r="AC16" s="68" t="s">
        <v>92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54"/>
      <c r="AI16" s="87"/>
    </row>
    <row r="17" spans="1:35" s="90" customFormat="1" ht="13" x14ac:dyDescent="0.15">
      <c r="A17" s="118"/>
      <c r="B17" s="159"/>
      <c r="C17" s="160"/>
      <c r="D17" s="161"/>
      <c r="E17" s="162"/>
      <c r="F17" s="163"/>
      <c r="G17" s="164"/>
      <c r="H17" s="164"/>
      <c r="I17" s="65"/>
      <c r="J17" s="164"/>
      <c r="K17" s="162"/>
      <c r="L17" s="164"/>
      <c r="M17" s="165"/>
      <c r="N17" s="166"/>
      <c r="O17" s="167"/>
      <c r="P17" s="168"/>
      <c r="Q17" s="168"/>
      <c r="R17" s="168"/>
      <c r="S17" s="169"/>
      <c r="T17" s="169"/>
      <c r="U17" s="170"/>
      <c r="V17" s="171"/>
      <c r="W17" s="171"/>
      <c r="X17" s="171"/>
      <c r="Y17" s="171"/>
      <c r="Z17" s="171"/>
      <c r="AA17" s="167"/>
      <c r="AB17" s="171"/>
      <c r="AC17" s="167"/>
      <c r="AD17" s="172"/>
      <c r="AE17" s="172"/>
      <c r="AF17" s="172"/>
      <c r="AG17" s="172"/>
      <c r="AH17" s="154"/>
      <c r="AI17" s="87"/>
    </row>
  </sheetData>
  <sheetProtection algorithmName="SHA-512" hashValue="0CM4O+Rx4DkjGqbOLvgK8Ou6ivzvKW7Ackftd6P0+DwN1o8bAaoyhUht6acmO80zd8D1geE8O29mIPRz+jcE3g==" saltValue="6UckQWzkJT81rKsIQU128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293" priority="3" operator="equal">
      <formula>"OK"</formula>
    </cfRule>
    <cfRule type="cellIs" dxfId="292" priority="4" operator="equal">
      <formula>"warning"</formula>
    </cfRule>
  </conditionalFormatting>
  <conditionalFormatting sqref="F13">
    <cfRule type="cellIs" dxfId="291" priority="1" operator="equal">
      <formula>"OK"</formula>
    </cfRule>
    <cfRule type="cellIs" dxfId="290" priority="2" operator="equal">
      <formula>"Error!!"</formula>
    </cfRule>
  </conditionalFormatting>
  <conditionalFormatting sqref="E15:H15 K15:L15">
    <cfRule type="expression" dxfId="289" priority="5">
      <formula>+$D15=#REF!</formula>
    </cfRule>
    <cfRule type="expression" dxfId="288" priority="6">
      <formula>+$D15=#REF!</formula>
    </cfRule>
  </conditionalFormatting>
  <conditionalFormatting sqref="D15 K16:L16 D16:H17 J17:L17">
    <cfRule type="expression" dxfId="287" priority="7">
      <formula>+$D15=$AG$8</formula>
    </cfRule>
    <cfRule type="expression" dxfId="286" priority="8">
      <formula>+$D15=$AG$9</formula>
    </cfRule>
  </conditionalFormatting>
  <dataValidations count="3">
    <dataValidation type="list" allowBlank="1" showInputMessage="1" showErrorMessage="1" promptTitle="Trade Direction" prompt="Select from List" sqref="C15:C17" xr:uid="{E238E195-9138-42BE-8AA1-2FB025BB7756}">
      <formula1>$AG$4:$AG$5</formula1>
    </dataValidation>
    <dataValidation type="list" allowBlank="1" showInputMessage="1" showErrorMessage="1" promptTitle="Instrument Type" prompt="Select Type from List_x000a_" sqref="B15:B16" xr:uid="{790F9287-FE2A-4227-B22B-FAFD6B8728FC}">
      <formula1>$AE$4:$AE$6</formula1>
    </dataValidation>
    <dataValidation type="list" allowBlank="1" showInputMessage="1" showErrorMessage="1" promptTitle="Instrument Type" prompt="Select Type from List_x000a_" sqref="B17" xr:uid="{71DE4D9A-DB2E-4631-B2A9-6EF06009D8D9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79B3-5CCC-43EF-A509-19C994233E82}">
  <sheetPr codeName="Hoja13">
    <pageSetUpPr fitToPage="1"/>
  </sheetPr>
  <dimension ref="A1:AX138"/>
  <sheetViews>
    <sheetView showGridLines="0" showZeros="0" tabSelected="1" zoomScale="115" zoomScaleNormal="115" zoomScalePageLayoutView="99" workbookViewId="0">
      <pane ySplit="16" topLeftCell="A17" activePane="bottomLeft" state="frozen"/>
      <selection pane="bottomLeft" activeCell="E2" sqref="E2:N5"/>
    </sheetView>
  </sheetViews>
  <sheetFormatPr baseColWidth="10" defaultColWidth="0" defaultRowHeight="15" customHeight="1" x14ac:dyDescent="0.15"/>
  <cols>
    <col min="1" max="1" width="2.33203125" style="117" customWidth="1"/>
    <col min="2" max="2" width="10.33203125" style="88" customWidth="1"/>
    <col min="3" max="3" width="12.6640625" style="90" customWidth="1"/>
    <col min="4" max="4" width="8.6640625" style="91" customWidth="1"/>
    <col min="5" max="5" width="13.6640625" style="107" customWidth="1"/>
    <col min="6" max="6" width="8.33203125" style="88" customWidth="1"/>
    <col min="7" max="7" width="10.6640625" style="88" bestFit="1" customWidth="1"/>
    <col min="8" max="8" width="9.83203125" style="88" bestFit="1" customWidth="1"/>
    <col min="9" max="9" width="15.33203125" style="88" customWidth="1"/>
    <col min="10" max="10" width="12.83203125" style="88" customWidth="1"/>
    <col min="11" max="11" width="12.6640625" style="107" customWidth="1"/>
    <col min="12" max="12" width="10.33203125" style="88" customWidth="1"/>
    <col min="13" max="13" width="10.1640625" style="89" customWidth="1"/>
    <col min="14" max="14" width="12.1640625" style="89" customWidth="1"/>
    <col min="15" max="15" width="8.6640625" style="89" hidden="1" customWidth="1"/>
    <col min="16" max="16" width="10.33203125" style="89" customWidth="1"/>
    <col min="17" max="17" width="11" style="89" customWidth="1"/>
    <col min="18" max="18" width="11" style="89" hidden="1" customWidth="1"/>
    <col min="19" max="20" width="11" style="96" hidden="1" customWidth="1"/>
    <col min="21" max="21" width="11" style="102" hidden="1" customWidth="1"/>
    <col min="22" max="22" width="9.33203125" style="89" bestFit="1" customWidth="1"/>
    <col min="23" max="23" width="9.33203125" style="89" hidden="1" customWidth="1"/>
    <col min="24" max="24" width="7.6640625" style="89" customWidth="1"/>
    <col min="25" max="25" width="9.33203125" style="89" hidden="1" customWidth="1"/>
    <col min="26" max="26" width="8.1640625" style="89" bestFit="1" customWidth="1"/>
    <col min="27" max="27" width="8.33203125" style="89" hidden="1" customWidth="1"/>
    <col min="28" max="28" width="8.1640625" style="89" customWidth="1"/>
    <col min="29" max="29" width="8.1640625" style="89" hidden="1" customWidth="1"/>
    <col min="30" max="30" width="9.6640625" style="89" customWidth="1"/>
    <col min="31" max="31" width="8.1640625" style="89" customWidth="1"/>
    <col min="32" max="32" width="8" style="89" customWidth="1"/>
    <col min="33" max="33" width="6.6640625" style="88" customWidth="1"/>
    <col min="34" max="34" width="2.5" style="117" customWidth="1"/>
    <col min="35" max="35" width="7.33203125" style="87" hidden="1" customWidth="1"/>
    <col min="36" max="41" width="2.6640625" style="88" hidden="1" customWidth="1"/>
    <col min="42" max="42" width="4.6640625" style="88" hidden="1" customWidth="1"/>
    <col min="43" max="43" width="7.6640625" style="88" hidden="1" customWidth="1"/>
    <col min="44" max="44" width="8.6640625" style="88" hidden="1" customWidth="1"/>
    <col min="45" max="45" width="12.33203125" style="88" hidden="1" customWidth="1"/>
    <col min="46" max="46" width="2.1640625" style="88" hidden="1" customWidth="1"/>
    <col min="47" max="47" width="2.6640625" style="88" hidden="1" customWidth="1"/>
    <col min="48" max="50" width="39.33203125" style="88" hidden="1" customWidth="1"/>
    <col min="51" max="16384" width="2.6640625" style="88" hidden="1"/>
  </cols>
  <sheetData>
    <row r="1" spans="1:48" s="87" customFormat="1" ht="15" customHeight="1" x14ac:dyDescent="0.15">
      <c r="A1" s="116"/>
      <c r="B1" s="119"/>
      <c r="C1" s="118"/>
      <c r="D1" s="118"/>
      <c r="E1" s="120"/>
      <c r="F1" s="116"/>
      <c r="G1" s="116"/>
      <c r="H1" s="116"/>
      <c r="I1" s="116"/>
      <c r="J1" s="116"/>
      <c r="K1" s="120"/>
      <c r="L1" s="121"/>
      <c r="M1" s="122"/>
      <c r="N1" s="122"/>
      <c r="O1" s="2"/>
      <c r="P1" s="134"/>
      <c r="Q1" s="134"/>
      <c r="R1" s="134"/>
      <c r="S1" s="135"/>
      <c r="T1" s="135"/>
      <c r="U1" s="136"/>
      <c r="V1" s="134"/>
      <c r="W1" s="134"/>
      <c r="X1" s="134"/>
      <c r="Y1" s="134"/>
      <c r="Z1" s="134"/>
      <c r="AA1" s="134"/>
      <c r="AB1" s="147"/>
      <c r="AC1" s="1"/>
      <c r="AD1" s="147"/>
      <c r="AE1" s="147"/>
      <c r="AF1" s="147"/>
      <c r="AG1" s="147"/>
      <c r="AH1" s="147"/>
    </row>
    <row r="2" spans="1:48" ht="15" customHeight="1" thickBot="1" x14ac:dyDescent="0.2">
      <c r="B2" s="117"/>
      <c r="C2" s="118"/>
      <c r="D2" s="123"/>
      <c r="E2" s="189" t="s">
        <v>105</v>
      </c>
      <c r="F2" s="189"/>
      <c r="G2" s="189"/>
      <c r="H2" s="189"/>
      <c r="I2" s="189"/>
      <c r="J2" s="189"/>
      <c r="K2" s="189"/>
      <c r="L2" s="189"/>
      <c r="M2" s="189"/>
      <c r="N2" s="189"/>
      <c r="O2" s="115"/>
      <c r="P2" s="137"/>
      <c r="Q2" s="137"/>
      <c r="R2" s="138"/>
      <c r="S2" s="139"/>
      <c r="T2" s="139"/>
      <c r="U2" s="140"/>
      <c r="V2" s="141"/>
      <c r="W2" s="141"/>
      <c r="X2" s="141"/>
      <c r="Y2" s="141"/>
      <c r="Z2" s="141"/>
      <c r="AA2" s="141"/>
      <c r="AB2" s="141"/>
      <c r="AC2" s="3"/>
      <c r="AD2" s="147"/>
      <c r="AE2" s="147"/>
      <c r="AF2" s="147"/>
      <c r="AG2" s="147"/>
      <c r="AH2" s="141"/>
    </row>
    <row r="3" spans="1:48" ht="15" customHeight="1" thickBot="1" x14ac:dyDescent="0.2">
      <c r="B3" s="117"/>
      <c r="C3" s="124"/>
      <c r="D3" s="123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15"/>
      <c r="P3" s="137"/>
      <c r="Q3" s="137"/>
      <c r="R3" s="138"/>
      <c r="S3" s="139"/>
      <c r="T3" s="139"/>
      <c r="U3" s="140"/>
      <c r="V3" s="141"/>
      <c r="W3" s="141"/>
      <c r="X3" s="141"/>
      <c r="Y3" s="141"/>
      <c r="Z3" s="141"/>
      <c r="AA3" s="141"/>
      <c r="AB3" s="141"/>
      <c r="AC3" s="3"/>
      <c r="AD3" s="4" t="s">
        <v>76</v>
      </c>
      <c r="AE3" s="5"/>
      <c r="AF3" s="4" t="s">
        <v>17</v>
      </c>
      <c r="AG3" s="6"/>
    </row>
    <row r="4" spans="1:48" ht="15" customHeight="1" x14ac:dyDescent="0.15">
      <c r="B4" s="117"/>
      <c r="C4" s="124"/>
      <c r="D4" s="123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15"/>
      <c r="P4" s="137"/>
      <c r="Q4" s="137"/>
      <c r="R4" s="138"/>
      <c r="S4" s="139"/>
      <c r="T4" s="139"/>
      <c r="U4" s="140"/>
      <c r="V4" s="141"/>
      <c r="W4" s="141"/>
      <c r="X4" s="141"/>
      <c r="Y4" s="141"/>
      <c r="Z4" s="141"/>
      <c r="AA4" s="141"/>
      <c r="AB4" s="141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88">
        <f>+IF(F13="OK",1,0)</f>
        <v>1</v>
      </c>
    </row>
    <row r="5" spans="1:48" ht="15" customHeight="1" thickBot="1" x14ac:dyDescent="0.2">
      <c r="B5" s="117"/>
      <c r="C5" s="124"/>
      <c r="D5" s="123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15"/>
      <c r="P5" s="137"/>
      <c r="Q5" s="137"/>
      <c r="R5" s="138"/>
      <c r="S5" s="139"/>
      <c r="T5" s="139"/>
      <c r="U5" s="140"/>
      <c r="V5" s="148" t="s">
        <v>7</v>
      </c>
      <c r="W5" s="134"/>
      <c r="X5" s="148" t="s">
        <v>6</v>
      </c>
      <c r="Y5" s="149"/>
      <c r="Z5" s="148" t="s">
        <v>5</v>
      </c>
      <c r="AA5" s="149"/>
      <c r="AB5" s="148" t="s">
        <v>73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88">
        <f>+IF(AS4=1,0,1)</f>
        <v>0</v>
      </c>
    </row>
    <row r="6" spans="1:48" ht="33" customHeight="1" thickBot="1" x14ac:dyDescent="0.2">
      <c r="B6" s="117"/>
      <c r="C6" s="124"/>
      <c r="D6" s="125"/>
      <c r="E6" s="108" t="s">
        <v>10</v>
      </c>
      <c r="F6" s="14">
        <f>COUNTA(Tabla33610673486[Inst])</f>
        <v>122</v>
      </c>
      <c r="G6" s="15" t="s">
        <v>9</v>
      </c>
      <c r="H6" s="15" t="s">
        <v>8</v>
      </c>
      <c r="I6" s="15" t="s">
        <v>61</v>
      </c>
      <c r="J6" s="77" t="s">
        <v>62</v>
      </c>
      <c r="K6" s="127"/>
      <c r="L6" s="199" t="s">
        <v>100</v>
      </c>
      <c r="M6" s="200"/>
      <c r="N6" s="203">
        <f>N13</f>
        <v>42.579999999999984</v>
      </c>
      <c r="O6" s="16"/>
      <c r="P6" s="141"/>
      <c r="Q6" s="142" t="s">
        <v>47</v>
      </c>
      <c r="R6" s="142"/>
      <c r="S6" s="143"/>
      <c r="T6" s="143"/>
      <c r="U6" s="144"/>
      <c r="V6" s="17">
        <f>+V13</f>
        <v>42.579999999999984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84"/>
      <c r="AD6" s="11" t="s">
        <v>18</v>
      </c>
      <c r="AE6" s="12" t="s">
        <v>5</v>
      </c>
      <c r="AF6" s="20"/>
      <c r="AG6" s="22"/>
    </row>
    <row r="7" spans="1:48" ht="15" customHeight="1" thickBot="1" x14ac:dyDescent="0.2">
      <c r="B7" s="117"/>
      <c r="C7" s="118"/>
      <c r="D7" s="117"/>
      <c r="E7" s="109" t="s">
        <v>4</v>
      </c>
      <c r="F7" s="23">
        <f>COUNTIF(Tabla33610673486[No. of Rs],"&gt;0")</f>
        <v>50</v>
      </c>
      <c r="G7" s="24">
        <f>IFERROR((F7/$F$6),"")</f>
        <v>0.4098360655737705</v>
      </c>
      <c r="H7" s="78">
        <f>IFERROR((+P13/F7),"")</f>
        <v>1.9612000000000001</v>
      </c>
      <c r="I7" s="205">
        <f>H7/H9</f>
        <v>2.5098269646719542</v>
      </c>
      <c r="J7" s="205">
        <f>AVERAGE(Tabla33610673486[No. of Rs])</f>
        <v>0.34901639344262281</v>
      </c>
      <c r="K7" s="127"/>
      <c r="L7" s="201"/>
      <c r="M7" s="202"/>
      <c r="N7" s="204"/>
      <c r="O7" s="16"/>
      <c r="P7" s="141"/>
      <c r="Q7" s="142" t="s">
        <v>2</v>
      </c>
      <c r="R7" s="142"/>
      <c r="S7" s="143"/>
      <c r="T7" s="143"/>
      <c r="U7" s="144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85"/>
      <c r="AD7" s="20" t="s">
        <v>75</v>
      </c>
      <c r="AE7" s="21" t="s">
        <v>73</v>
      </c>
      <c r="AF7" s="4" t="s">
        <v>37</v>
      </c>
      <c r="AG7" s="6"/>
    </row>
    <row r="8" spans="1:48" ht="23" customHeight="1" thickBot="1" x14ac:dyDescent="0.2">
      <c r="B8" s="117"/>
      <c r="C8" s="118"/>
      <c r="D8" s="117"/>
      <c r="E8" s="109" t="s">
        <v>3</v>
      </c>
      <c r="F8" s="23">
        <f>COUNTIF(Tabla33610673486[No. of Rs],"=0")</f>
        <v>1</v>
      </c>
      <c r="G8" s="24">
        <f>IFERROR((F8/$F$6),"")</f>
        <v>8.1967213114754103E-3</v>
      </c>
      <c r="H8" s="78"/>
      <c r="I8" s="206"/>
      <c r="J8" s="206"/>
      <c r="K8" s="141"/>
      <c r="L8" s="190" t="s">
        <v>101</v>
      </c>
      <c r="M8" s="191"/>
      <c r="N8" s="173">
        <f ca="1">OFFSET(Tabla33610673486[[#Headers],[Equity]],1,0)</f>
        <v>35645</v>
      </c>
      <c r="O8" s="16"/>
      <c r="P8" s="141"/>
      <c r="Q8" s="142" t="s">
        <v>63</v>
      </c>
      <c r="R8" s="142"/>
      <c r="S8" s="143"/>
      <c r="T8" s="143"/>
      <c r="U8" s="144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86"/>
      <c r="AD8" s="141"/>
      <c r="AE8" s="141"/>
      <c r="AF8" s="7" t="s">
        <v>31</v>
      </c>
      <c r="AG8" s="9" t="s">
        <v>33</v>
      </c>
    </row>
    <row r="9" spans="1:48" ht="15" customHeight="1" thickBot="1" x14ac:dyDescent="0.2">
      <c r="B9" s="117"/>
      <c r="C9" s="118"/>
      <c r="D9" s="126"/>
      <c r="E9" s="110" t="s">
        <v>1</v>
      </c>
      <c r="F9" s="31">
        <f>COUNTIF(Tabla33610673486[No. of Rs],"&lt;0")</f>
        <v>71</v>
      </c>
      <c r="G9" s="32">
        <f>IFERROR((F9/$F$6),"")</f>
        <v>0.58196721311475408</v>
      </c>
      <c r="H9" s="79">
        <f>IFERROR((-Q13/F9),"")</f>
        <v>0.78140845070422527</v>
      </c>
      <c r="I9" s="207"/>
      <c r="J9" s="207"/>
      <c r="K9" s="127"/>
      <c r="L9" s="208" t="s">
        <v>95</v>
      </c>
      <c r="M9" s="209"/>
      <c r="N9" s="103">
        <f ca="1">MAX(Tabla33610673486[Drawdown])</f>
        <v>5.5424063116370811E-2</v>
      </c>
      <c r="O9" s="16"/>
      <c r="P9" s="141"/>
      <c r="Q9" s="142" t="s">
        <v>60</v>
      </c>
      <c r="R9" s="142"/>
      <c r="S9" s="143"/>
      <c r="T9" s="143"/>
      <c r="U9" s="144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86"/>
      <c r="AD9" s="141"/>
      <c r="AE9" s="141"/>
      <c r="AF9" s="11" t="s">
        <v>32</v>
      </c>
      <c r="AG9" s="13" t="s">
        <v>34</v>
      </c>
    </row>
    <row r="10" spans="1:48" ht="15" customHeight="1" thickBot="1" x14ac:dyDescent="0.2">
      <c r="B10" s="117"/>
      <c r="C10" s="118"/>
      <c r="D10" s="126"/>
      <c r="E10" s="127"/>
      <c r="F10" s="117"/>
      <c r="G10" s="141"/>
      <c r="H10" s="141"/>
      <c r="I10" s="141"/>
      <c r="J10" s="141"/>
      <c r="K10" s="155"/>
      <c r="L10" s="208" t="s">
        <v>99</v>
      </c>
      <c r="M10" s="209"/>
      <c r="N10" s="103" t="str">
        <f ca="1">OFFSET(Tabla33610673486[[#Headers],[Drawdown]],1,0)</f>
        <v/>
      </c>
      <c r="O10" s="25"/>
      <c r="P10" s="141"/>
      <c r="Q10" s="141"/>
      <c r="R10" s="141"/>
      <c r="S10" s="145"/>
      <c r="T10" s="145"/>
      <c r="U10" s="146"/>
      <c r="V10" s="37" t="s">
        <v>53</v>
      </c>
      <c r="W10" s="38"/>
      <c r="X10" s="38">
        <f>COUNTIF(Tabla33610673486[Heat],"&lt;0")</f>
        <v>0</v>
      </c>
      <c r="Y10" s="38"/>
      <c r="Z10" s="39" t="s">
        <v>54</v>
      </c>
      <c r="AA10" s="38"/>
      <c r="AB10" s="38"/>
      <c r="AC10" s="38"/>
      <c r="AD10" s="141"/>
      <c r="AE10" s="141"/>
      <c r="AF10" s="20"/>
      <c r="AG10" s="22"/>
    </row>
    <row r="11" spans="1:48" ht="15" customHeight="1" thickBot="1" x14ac:dyDescent="0.2">
      <c r="B11" s="117"/>
      <c r="C11" s="118"/>
      <c r="D11" s="126"/>
      <c r="E11" s="111" t="s">
        <v>64</v>
      </c>
      <c r="F11" s="81">
        <v>25000</v>
      </c>
      <c r="G11" s="141"/>
      <c r="H11" s="192" t="s">
        <v>46</v>
      </c>
      <c r="I11" s="193"/>
      <c r="J11" s="80">
        <v>12</v>
      </c>
      <c r="K11" s="141"/>
      <c r="L11" s="141"/>
      <c r="M11" s="141"/>
      <c r="N11" s="141"/>
      <c r="O11" s="141"/>
      <c r="P11" s="141"/>
      <c r="Q11" s="141"/>
      <c r="R11" s="141"/>
      <c r="S11" s="145"/>
      <c r="T11" s="145"/>
      <c r="U11" s="146"/>
      <c r="V11" s="141"/>
      <c r="W11" s="141"/>
      <c r="X11" s="141"/>
      <c r="Y11" s="141"/>
      <c r="Z11" s="141"/>
      <c r="AA11" s="141"/>
      <c r="AB11" s="141"/>
      <c r="AC11" s="3"/>
      <c r="AD11" s="153"/>
      <c r="AE11" s="153"/>
      <c r="AF11" s="153"/>
      <c r="AG11" s="141"/>
      <c r="AH11" s="141"/>
    </row>
    <row r="12" spans="1:48" ht="15" customHeight="1" thickBot="1" x14ac:dyDescent="0.2">
      <c r="B12" s="117"/>
      <c r="C12" s="118"/>
      <c r="D12" s="117"/>
      <c r="E12" s="128"/>
      <c r="F12" s="117"/>
      <c r="G12" s="141"/>
      <c r="H12" s="194" t="s">
        <v>65</v>
      </c>
      <c r="I12" s="195"/>
      <c r="J12" s="82" t="str">
        <f>IF(COUNTIFS(Tabla33610673486[O/C],"O")&lt;1,"None",COUNTIFS(Tabla33610673486[O/C],"O"))</f>
        <v>None</v>
      </c>
      <c r="K12" s="155"/>
      <c r="L12" s="117"/>
      <c r="M12" s="117"/>
      <c r="N12" s="117"/>
      <c r="O12" s="117"/>
      <c r="P12" s="117"/>
      <c r="Q12" s="117"/>
      <c r="R12" s="117"/>
      <c r="S12" s="132"/>
      <c r="T12" s="132"/>
      <c r="U12" s="133"/>
      <c r="V12" s="141"/>
      <c r="W12" s="150"/>
      <c r="X12" s="151"/>
      <c r="Y12" s="151"/>
      <c r="Z12" s="152"/>
      <c r="AA12" s="151"/>
      <c r="AB12" s="152"/>
      <c r="AC12" s="40"/>
      <c r="AD12" s="196" t="s">
        <v>42</v>
      </c>
      <c r="AE12" s="197"/>
      <c r="AF12" s="197"/>
      <c r="AG12" s="198"/>
      <c r="AP12" s="89"/>
      <c r="AQ12" s="89"/>
      <c r="AR12" s="89"/>
      <c r="AS12" s="89"/>
      <c r="AT12" s="89"/>
      <c r="AV12" s="88" t="s">
        <v>12</v>
      </c>
    </row>
    <row r="13" spans="1:48" ht="15" customHeight="1" thickBot="1" x14ac:dyDescent="0.2">
      <c r="B13" s="117"/>
      <c r="C13" s="118"/>
      <c r="D13" s="117"/>
      <c r="E13" s="112" t="s">
        <v>0</v>
      </c>
      <c r="F13" s="41" t="str">
        <f>IF((+F6-SUM(F7:F9))&lt;&gt;0,"ERROR!!","OK")</f>
        <v>OK</v>
      </c>
      <c r="G13" s="141"/>
      <c r="H13" s="141"/>
      <c r="I13" s="141"/>
      <c r="J13" s="156"/>
      <c r="K13" s="155"/>
      <c r="L13" s="117"/>
      <c r="M13" s="117"/>
      <c r="N13" s="74">
        <f>SUM(Tabla33610673486[No. of Rs])</f>
        <v>42.579999999999984</v>
      </c>
      <c r="O13" s="42">
        <f>SUM(Tabla33610673486[Heat])</f>
        <v>0</v>
      </c>
      <c r="P13" s="43">
        <f>SUM(Tabla33610673486[[ TR WIN]])</f>
        <v>98.06</v>
      </c>
      <c r="Q13" s="43">
        <f>SUM(Tabla33610673486[[ TR LOSS]])</f>
        <v>-55.48</v>
      </c>
      <c r="R13" s="92"/>
      <c r="S13" s="93"/>
      <c r="T13" s="93"/>
      <c r="U13" s="99"/>
      <c r="V13" s="44">
        <f>SUM(Tabla33610673486[Currency])</f>
        <v>42.579999999999984</v>
      </c>
      <c r="W13" s="44">
        <f>SUM(Tabla33610673486[Heat3])</f>
        <v>0</v>
      </c>
      <c r="X13" s="44">
        <f>SUM(Tabla33610673486[Commodities])</f>
        <v>0</v>
      </c>
      <c r="Y13" s="44">
        <f>SUM(Tabla33610673486[Heat4])</f>
        <v>0</v>
      </c>
      <c r="Z13" s="44">
        <f>SUM(Tabla33610673486[Index])</f>
        <v>0</v>
      </c>
      <c r="AA13" s="44">
        <f>SUM(Tabla33610673486[Heat5])</f>
        <v>0</v>
      </c>
      <c r="AB13" s="44">
        <f>SUM(Tabla33610673486[Cryptocurrency])</f>
        <v>0</v>
      </c>
      <c r="AC13" s="44">
        <f>SUM(Tabla33610673486[Heat6])</f>
        <v>0</v>
      </c>
      <c r="AD13" s="75">
        <f>AVERAGEIF(Tabla33610673486[Length of 
Trade],"&lt;&gt;0")</f>
        <v>0.58316826047380566</v>
      </c>
      <c r="AE13" s="75">
        <f>AVERAGEIF(Tabla33610673486[Win],"&lt;&gt;0")</f>
        <v>0.87387500000026197</v>
      </c>
      <c r="AF13" s="75">
        <f>AVERAGEIF(Tabla33610673486[Loss],"&lt;&gt;0")</f>
        <v>0.37998826291107141</v>
      </c>
      <c r="AG13" s="76">
        <f>AVERAGEIF(Tabla33610673486[Breakeven],"&lt;&gt;0")</f>
        <v>0.47361111110512866</v>
      </c>
      <c r="AP13" s="89"/>
      <c r="AV13" s="88" t="s">
        <v>11</v>
      </c>
    </row>
    <row r="14" spans="1:48" ht="15" customHeight="1" thickBot="1" x14ac:dyDescent="0.2">
      <c r="B14" s="117"/>
      <c r="C14" s="118"/>
      <c r="D14" s="117"/>
      <c r="E14" s="127"/>
      <c r="F14" s="129"/>
      <c r="G14" s="157"/>
      <c r="H14" s="157"/>
      <c r="I14" s="157"/>
      <c r="J14" s="157"/>
      <c r="K14" s="158"/>
      <c r="L14" s="129"/>
      <c r="M14" s="129"/>
      <c r="N14" s="129"/>
      <c r="O14" s="129"/>
      <c r="P14" s="129"/>
      <c r="Q14" s="129"/>
      <c r="R14" s="129"/>
      <c r="S14" s="130"/>
      <c r="T14" s="130"/>
      <c r="U14" s="131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</row>
    <row r="15" spans="1:48" s="90" customFormat="1" ht="43" thickBot="1" x14ac:dyDescent="0.2">
      <c r="A15" s="118"/>
      <c r="B15" s="45" t="s">
        <v>29</v>
      </c>
      <c r="C15" s="46" t="s">
        <v>28</v>
      </c>
      <c r="D15" s="45" t="s">
        <v>35</v>
      </c>
      <c r="E15" s="113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05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97" t="s">
        <v>98</v>
      </c>
      <c r="S15" s="94" t="s">
        <v>93</v>
      </c>
      <c r="T15" s="104" t="s">
        <v>96</v>
      </c>
      <c r="U15" s="100" t="s">
        <v>94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75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18"/>
      <c r="AI15" s="87"/>
    </row>
    <row r="16" spans="1:48" s="90" customFormat="1" ht="42" hidden="1" x14ac:dyDescent="0.15">
      <c r="A16" s="118"/>
      <c r="B16" s="60" t="s">
        <v>29</v>
      </c>
      <c r="C16" s="61" t="s">
        <v>28</v>
      </c>
      <c r="D16" s="62" t="s">
        <v>35</v>
      </c>
      <c r="E16" s="114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06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98" t="s">
        <v>98</v>
      </c>
      <c r="S16" s="95" t="s">
        <v>93</v>
      </c>
      <c r="T16" s="95" t="s">
        <v>96</v>
      </c>
      <c r="U16" s="101" t="s">
        <v>94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75</v>
      </c>
      <c r="AC16" s="68" t="s">
        <v>92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54"/>
      <c r="AI16" s="87"/>
    </row>
    <row r="17" spans="1:35" s="90" customFormat="1" ht="14" x14ac:dyDescent="0.15">
      <c r="A17" s="118"/>
      <c r="B17" s="174" t="s">
        <v>7</v>
      </c>
      <c r="C17" s="175" t="s">
        <v>15</v>
      </c>
      <c r="D17" s="176" t="str">
        <f t="shared" ref="D17:D48" si="0">IF(E17&lt;&gt;"",IF(K17&lt;&gt;"","C","O"),"")</f>
        <v>C</v>
      </c>
      <c r="E17" s="177" t="d">
        <v>2021-12-29T15:30:00.00000020954757600</v>
      </c>
      <c r="F17" s="178" t="s">
        <v>102</v>
      </c>
      <c r="G17" s="179">
        <v>154.63200000000001</v>
      </c>
      <c r="H17" s="179">
        <v>154.399</v>
      </c>
      <c r="I17" s="180">
        <f t="shared" ref="I17:I48" si="1">ABS(G17-H17)</f>
        <v>0.23300000000000409</v>
      </c>
      <c r="J17" s="179">
        <v>155.875</v>
      </c>
      <c r="K17" s="177" t="d">
        <v>2021-12-30T10:38:00.00000030733644975</v>
      </c>
      <c r="L17" s="179">
        <v>155.01400000000001</v>
      </c>
      <c r="M17" s="181">
        <f t="shared" ref="M17:M48" si="2">ROUND(IF(C17="L",(L17-G17),(G17-L17)),4)</f>
        <v>0.38200000000000001</v>
      </c>
      <c r="N17" s="182">
        <f t="shared" ref="N17:N48" si="3">IFERROR(ROUND((M17/I17),2),"")</f>
        <v>1.64</v>
      </c>
      <c r="O17" s="183">
        <f t="shared" ref="O17:O48" si="4">IF(D17="O",IF(N17&lt;0,N17,0),0)</f>
        <v>0</v>
      </c>
      <c r="P17" s="184">
        <f t="shared" ref="P17:P48" si="5">IF(N17&gt;= 0,N17,0)</f>
        <v>1.64</v>
      </c>
      <c r="Q17" s="184">
        <f t="shared" ref="Q17:Q48" si="6">IF(N17&lt;0,N17,0)</f>
        <v>0</v>
      </c>
      <c r="R1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35645</v>
      </c>
      <c r="T1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35645</v>
      </c>
      <c r="U17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7" s="187">
        <f t="shared" ref="V17:V48" si="7">IF(B17="FX",N17,0)</f>
        <v>1.64</v>
      </c>
      <c r="W17" s="187">
        <f t="shared" ref="W17:W48" si="8">IF(D17="O",IF(V17&lt;0,V17,0),0)</f>
        <v>0</v>
      </c>
      <c r="X17" s="187">
        <f t="shared" ref="X17:X48" si="9">IF(B17="COM",N17,0)</f>
        <v>0</v>
      </c>
      <c r="Y17" s="187">
        <f t="shared" ref="Y17:Y48" si="10">IF(D17="O",IF(X17&lt;0,X17,0),0)</f>
        <v>0</v>
      </c>
      <c r="Z17" s="187">
        <f t="shared" ref="Z17:Z48" si="11">IF(B17="IND",N17,0)</f>
        <v>0</v>
      </c>
      <c r="AA17" s="183">
        <f t="shared" ref="AA17:AA48" si="12">IF(D17="O",IF(Z17&lt;0,Z17,0),0)</f>
        <v>0</v>
      </c>
      <c r="AB17" s="187">
        <f t="shared" ref="AB17:AB48" si="13">IF(B17="CRYPTO",N17,0)</f>
        <v>0</v>
      </c>
      <c r="AC17" s="183">
        <f t="shared" ref="AC17:AC48" si="14">IF(D17="O",IF(AB17&lt;0,AB17,0),0)</f>
        <v>0</v>
      </c>
      <c r="AD17" s="188">
        <f t="shared" ref="AD17:AD48" si="15">IF(K17&lt;&gt;"",K17-E17,0)</f>
        <v>0.79722222222335404</v>
      </c>
      <c r="AE17" s="188">
        <f t="shared" ref="AE17:AE48" si="16">IF(N17&gt;0,AD17,0)</f>
        <v>0.79722222222335404</v>
      </c>
      <c r="AF17" s="188">
        <f t="shared" ref="AF17:AF48" si="17">IF(N17&lt;0,AD17,0)</f>
        <v>0</v>
      </c>
      <c r="AG17" s="188">
        <f t="shared" ref="AG17:AG48" si="18">IF(N17=0,AD17,0)</f>
        <v>0</v>
      </c>
      <c r="AH17" s="154"/>
      <c r="AI17" s="87"/>
    </row>
    <row r="18" spans="1:35" ht="15" customHeight="1" x14ac:dyDescent="0.15">
      <c r="B18" s="174" t="s">
        <v>7</v>
      </c>
      <c r="C18" s="175" t="s">
        <v>15</v>
      </c>
      <c r="D18" s="176" t="str">
        <f t="shared" si="0"/>
        <v>C</v>
      </c>
      <c r="E18" s="177" t="d">
        <v>2021-12-27T14:29:59.99999979045242400</v>
      </c>
      <c r="F18" s="178" t="s">
        <v>102</v>
      </c>
      <c r="G18" s="179">
        <v>153.80000000000001</v>
      </c>
      <c r="H18" s="179">
        <v>153.53200000000001</v>
      </c>
      <c r="I18" s="180">
        <f t="shared" si="1"/>
        <v>0.26800000000000068</v>
      </c>
      <c r="J18" s="179">
        <v>155.22999999999999</v>
      </c>
      <c r="K18" s="177" t="d">
        <v>2021-12-28T17:29:00.00000022351741800</v>
      </c>
      <c r="L18" s="179">
        <v>154.25399999999999</v>
      </c>
      <c r="M18" s="181">
        <f t="shared" si="2"/>
        <v>0.45400000000000001</v>
      </c>
      <c r="N18" s="182">
        <f t="shared" si="3"/>
        <v>1.69</v>
      </c>
      <c r="O18" s="183">
        <f t="shared" si="4"/>
        <v>0</v>
      </c>
      <c r="P18" s="184">
        <f t="shared" si="5"/>
        <v>1.69</v>
      </c>
      <c r="Q18" s="184">
        <f t="shared" si="6"/>
        <v>0</v>
      </c>
      <c r="R1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35235</v>
      </c>
      <c r="T1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35235</v>
      </c>
      <c r="U18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8" s="187">
        <f t="shared" si="7"/>
        <v>1.69</v>
      </c>
      <c r="W18" s="187">
        <f t="shared" si="8"/>
        <v>0</v>
      </c>
      <c r="X18" s="187">
        <f t="shared" si="9"/>
        <v>0</v>
      </c>
      <c r="Y18" s="187">
        <f t="shared" si="10"/>
        <v>0</v>
      </c>
      <c r="Z18" s="187">
        <f t="shared" si="11"/>
        <v>0</v>
      </c>
      <c r="AA18" s="183">
        <f t="shared" si="12"/>
        <v>0</v>
      </c>
      <c r="AB18" s="187">
        <f t="shared" si="13"/>
        <v>0</v>
      </c>
      <c r="AC18" s="183">
        <f t="shared" si="14"/>
        <v>0</v>
      </c>
      <c r="AD18" s="188">
        <f t="shared" si="15"/>
        <v>1.1243055555605679</v>
      </c>
      <c r="AE18" s="188">
        <f t="shared" si="16"/>
        <v>1.1243055555605679</v>
      </c>
      <c r="AF18" s="188">
        <f t="shared" si="17"/>
        <v>0</v>
      </c>
      <c r="AG18" s="188">
        <f t="shared" si="18"/>
        <v>0</v>
      </c>
    </row>
    <row r="19" spans="1:35" ht="15" customHeight="1" x14ac:dyDescent="0.15">
      <c r="B19" s="174" t="s">
        <v>7</v>
      </c>
      <c r="C19" s="175" t="s">
        <v>15</v>
      </c>
      <c r="D19" s="176" t="str">
        <f t="shared" si="0"/>
        <v>C</v>
      </c>
      <c r="E19" s="177" t="d">
        <v>2021-12-22T09:59:59.99999979045242400</v>
      </c>
      <c r="F19" s="178" t="s">
        <v>102</v>
      </c>
      <c r="G19" s="179">
        <v>151.53299999999999</v>
      </c>
      <c r="H19" s="179">
        <v>151.26400000000001</v>
      </c>
      <c r="I19" s="180">
        <f t="shared" si="1"/>
        <v>0.26899999999997704</v>
      </c>
      <c r="J19" s="179">
        <v>152.96700000000001</v>
      </c>
      <c r="K19" s="177" t="d">
        <v>2021-12-23T10:25:59.99999984633177850</v>
      </c>
      <c r="L19" s="179">
        <v>152.96700000000001</v>
      </c>
      <c r="M19" s="181">
        <f t="shared" si="2"/>
        <v>1.4339999999999999</v>
      </c>
      <c r="N19" s="182">
        <f t="shared" si="3"/>
        <v>5.33</v>
      </c>
      <c r="O19" s="183">
        <f t="shared" si="4"/>
        <v>0</v>
      </c>
      <c r="P19" s="184">
        <f t="shared" si="5"/>
        <v>5.33</v>
      </c>
      <c r="Q19" s="184">
        <f t="shared" si="6"/>
        <v>0</v>
      </c>
      <c r="R1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34812.5</v>
      </c>
      <c r="T1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34812.5</v>
      </c>
      <c r="U19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9" s="187">
        <f t="shared" si="7"/>
        <v>5.33</v>
      </c>
      <c r="W19" s="187">
        <f t="shared" si="8"/>
        <v>0</v>
      </c>
      <c r="X19" s="187">
        <f t="shared" si="9"/>
        <v>0</v>
      </c>
      <c r="Y19" s="187">
        <f t="shared" si="10"/>
        <v>0</v>
      </c>
      <c r="Z19" s="187">
        <f t="shared" si="11"/>
        <v>0</v>
      </c>
      <c r="AA19" s="183">
        <f t="shared" si="12"/>
        <v>0</v>
      </c>
      <c r="AB19" s="187">
        <f t="shared" si="13"/>
        <v>0</v>
      </c>
      <c r="AC19" s="183">
        <f t="shared" si="14"/>
        <v>0</v>
      </c>
      <c r="AD19" s="188">
        <f t="shared" si="15"/>
        <v>1.0180555555562023</v>
      </c>
      <c r="AE19" s="188">
        <f t="shared" si="16"/>
        <v>1.0180555555562023</v>
      </c>
      <c r="AF19" s="188">
        <f t="shared" si="17"/>
        <v>0</v>
      </c>
      <c r="AG19" s="188">
        <f t="shared" si="18"/>
        <v>0</v>
      </c>
    </row>
    <row r="20" spans="1:35" ht="15" customHeight="1" x14ac:dyDescent="0.15">
      <c r="B20" s="174" t="s">
        <v>7</v>
      </c>
      <c r="C20" s="175" t="s">
        <v>13</v>
      </c>
      <c r="D20" s="176" t="str">
        <f t="shared" si="0"/>
        <v>C</v>
      </c>
      <c r="E20" s="177" t="d">
        <v>2021-12-20T02:00:00.00000020954757600</v>
      </c>
      <c r="F20" s="178" t="s">
        <v>102</v>
      </c>
      <c r="G20" s="179">
        <v>150.166</v>
      </c>
      <c r="H20" s="179">
        <v>150.51900000000001</v>
      </c>
      <c r="I20" s="180">
        <f t="shared" si="1"/>
        <v>0.35300000000000864</v>
      </c>
      <c r="J20" s="179">
        <v>148.285</v>
      </c>
      <c r="K20" s="177" t="d">
        <v>2021-12-20T13:54:59.99999986030161375</v>
      </c>
      <c r="L20" s="179">
        <v>150.04599999999999</v>
      </c>
      <c r="M20" s="181">
        <f t="shared" si="2"/>
        <v>0.12</v>
      </c>
      <c r="N20" s="182">
        <f t="shared" si="3"/>
        <v>0.34</v>
      </c>
      <c r="O20" s="183">
        <f t="shared" si="4"/>
        <v>0</v>
      </c>
      <c r="P20" s="184">
        <f t="shared" si="5"/>
        <v>0.34</v>
      </c>
      <c r="Q20" s="184">
        <f t="shared" si="6"/>
        <v>0</v>
      </c>
      <c r="R2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33480</v>
      </c>
      <c r="T2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33480</v>
      </c>
      <c r="U20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20" s="187">
        <f t="shared" si="7"/>
        <v>0.34</v>
      </c>
      <c r="W20" s="187">
        <f t="shared" si="8"/>
        <v>0</v>
      </c>
      <c r="X20" s="187">
        <f t="shared" si="9"/>
        <v>0</v>
      </c>
      <c r="Y20" s="187">
        <f t="shared" si="10"/>
        <v>0</v>
      </c>
      <c r="Z20" s="187">
        <f t="shared" si="11"/>
        <v>0</v>
      </c>
      <c r="AA20" s="183">
        <f t="shared" si="12"/>
        <v>0</v>
      </c>
      <c r="AB20" s="187">
        <f t="shared" si="13"/>
        <v>0</v>
      </c>
      <c r="AC20" s="183">
        <f t="shared" si="14"/>
        <v>0</v>
      </c>
      <c r="AD20" s="188">
        <f t="shared" si="15"/>
        <v>0.49652777777373558</v>
      </c>
      <c r="AE20" s="188">
        <f t="shared" si="16"/>
        <v>0.49652777777373558</v>
      </c>
      <c r="AF20" s="188">
        <f t="shared" si="17"/>
        <v>0</v>
      </c>
      <c r="AG20" s="188">
        <f t="shared" si="18"/>
        <v>0</v>
      </c>
    </row>
    <row r="21" spans="1:35" ht="15" customHeight="1" x14ac:dyDescent="0.15">
      <c r="B21" s="174" t="s">
        <v>7</v>
      </c>
      <c r="C21" s="175" t="s">
        <v>15</v>
      </c>
      <c r="D21" s="176" t="str">
        <f t="shared" si="0"/>
        <v>C</v>
      </c>
      <c r="E21" s="177" t="d">
        <v>2021-12-15T22:15:00.00000020954757600</v>
      </c>
      <c r="F21" s="178" t="s">
        <v>102</v>
      </c>
      <c r="G21" s="179">
        <v>151.227</v>
      </c>
      <c r="H21" s="179">
        <v>150.92599999999999</v>
      </c>
      <c r="I21" s="180">
        <f t="shared" si="1"/>
        <v>0.30100000000001614</v>
      </c>
      <c r="J21" s="179">
        <v>152.83500000000001</v>
      </c>
      <c r="K21" s="177" t="d">
        <v>2021-12-16T16:05:59.99999970663339225</v>
      </c>
      <c r="L21" s="179">
        <v>152.09</v>
      </c>
      <c r="M21" s="181">
        <f t="shared" si="2"/>
        <v>0.86299999999999999</v>
      </c>
      <c r="N21" s="182">
        <f t="shared" si="3"/>
        <v>2.87</v>
      </c>
      <c r="O21" s="183">
        <f t="shared" si="4"/>
        <v>0</v>
      </c>
      <c r="P21" s="184">
        <f t="shared" si="5"/>
        <v>2.87</v>
      </c>
      <c r="Q21" s="184">
        <f t="shared" si="6"/>
        <v>0</v>
      </c>
      <c r="R2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33395</v>
      </c>
      <c r="T2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33422.5</v>
      </c>
      <c r="U21" s="186">
        <f ca="1">IF(Tabla33610673486[[#This Row],[Equity]]&lt;Tabla33610673486[[#This Row],[Equity Peak]],(Tabla33610673486[[#This Row],[Equity Peak]]-Tabla33610673486[[#This Row],[Equity]])/Tabla33610673486[[#This Row],[Equity Peak]],"")</f>
        <v>8.2279901264118479E-4</v>
      </c>
      <c r="V21" s="187">
        <f t="shared" si="7"/>
        <v>2.87</v>
      </c>
      <c r="W21" s="187">
        <f t="shared" si="8"/>
        <v>0</v>
      </c>
      <c r="X21" s="187">
        <f t="shared" si="9"/>
        <v>0</v>
      </c>
      <c r="Y21" s="187">
        <f t="shared" si="10"/>
        <v>0</v>
      </c>
      <c r="Z21" s="187">
        <f t="shared" si="11"/>
        <v>0</v>
      </c>
      <c r="AA21" s="183">
        <f t="shared" si="12"/>
        <v>0</v>
      </c>
      <c r="AB21" s="187">
        <f t="shared" si="13"/>
        <v>0</v>
      </c>
      <c r="AC21" s="183">
        <f t="shared" si="14"/>
        <v>0</v>
      </c>
      <c r="AD21" s="188">
        <f t="shared" si="15"/>
        <v>0.74374999999417923</v>
      </c>
      <c r="AE21" s="188">
        <f t="shared" si="16"/>
        <v>0.74374999999417923</v>
      </c>
      <c r="AF21" s="188">
        <f t="shared" si="17"/>
        <v>0</v>
      </c>
      <c r="AG21" s="188">
        <f t="shared" si="18"/>
        <v>0</v>
      </c>
    </row>
    <row r="22" spans="1:35" ht="15" customHeight="1" x14ac:dyDescent="0.15">
      <c r="B22" s="174" t="s">
        <v>7</v>
      </c>
      <c r="C22" s="175" t="s">
        <v>15</v>
      </c>
      <c r="D22" s="176" t="str">
        <f t="shared" si="0"/>
        <v>C</v>
      </c>
      <c r="E22" s="177" t="d">
        <v>2021-12-15T10:15:00.00000020954757600</v>
      </c>
      <c r="F22" s="178" t="s">
        <v>102</v>
      </c>
      <c r="G22" s="179">
        <v>150.887</v>
      </c>
      <c r="H22" s="179">
        <v>150.624</v>
      </c>
      <c r="I22" s="180">
        <f t="shared" si="1"/>
        <v>0.26300000000000523</v>
      </c>
      <c r="J22" s="179">
        <v>152.28800000000001</v>
      </c>
      <c r="K22" s="177" t="d">
        <v>2021-12-15T16:45:59.99999998603016475</v>
      </c>
      <c r="L22" s="179">
        <v>150.624</v>
      </c>
      <c r="M22" s="181">
        <f t="shared" si="2"/>
        <v>-0.26300000000000001</v>
      </c>
      <c r="N22" s="182">
        <f t="shared" si="3"/>
        <v>-1</v>
      </c>
      <c r="O22" s="183">
        <f t="shared" si="4"/>
        <v>0</v>
      </c>
      <c r="P22" s="184">
        <f t="shared" si="5"/>
        <v>0</v>
      </c>
      <c r="Q22" s="184">
        <f t="shared" si="6"/>
        <v>-1</v>
      </c>
      <c r="R2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32677.5</v>
      </c>
      <c r="T2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33422.5</v>
      </c>
      <c r="U22" s="186">
        <f ca="1">IF(Tabla33610673486[[#This Row],[Equity]]&lt;Tabla33610673486[[#This Row],[Equity Peak]],(Tabla33610673486[[#This Row],[Equity Peak]]-Tabla33610673486[[#This Row],[Equity]])/Tabla33610673486[[#This Row],[Equity Peak]],"")</f>
        <v>2.2290373251552097E-2</v>
      </c>
      <c r="V22" s="187">
        <f t="shared" si="7"/>
        <v>-1</v>
      </c>
      <c r="W22" s="187">
        <f t="shared" si="8"/>
        <v>0</v>
      </c>
      <c r="X22" s="187">
        <f t="shared" si="9"/>
        <v>0</v>
      </c>
      <c r="Y22" s="187">
        <f t="shared" si="10"/>
        <v>0</v>
      </c>
      <c r="Z22" s="187">
        <f t="shared" si="11"/>
        <v>0</v>
      </c>
      <c r="AA22" s="183">
        <f t="shared" si="12"/>
        <v>0</v>
      </c>
      <c r="AB22" s="187">
        <f t="shared" si="13"/>
        <v>0</v>
      </c>
      <c r="AC22" s="183">
        <f t="shared" si="14"/>
        <v>0</v>
      </c>
      <c r="AD22" s="188">
        <f t="shared" si="15"/>
        <v>0.27152777777519077</v>
      </c>
      <c r="AE22" s="188">
        <f t="shared" si="16"/>
        <v>0</v>
      </c>
      <c r="AF22" s="188">
        <f t="shared" si="17"/>
        <v>0.27152777777519077</v>
      </c>
      <c r="AG22" s="188">
        <f t="shared" si="18"/>
        <v>0</v>
      </c>
    </row>
    <row r="23" spans="1:35" ht="15" customHeight="1" x14ac:dyDescent="0.15">
      <c r="B23" s="174" t="s">
        <v>7</v>
      </c>
      <c r="C23" s="175" t="s">
        <v>15</v>
      </c>
      <c r="D23" s="176" t="str">
        <f t="shared" si="0"/>
        <v>C</v>
      </c>
      <c r="E23" s="177" t="d">
        <v>2021-12-07T06:00:00.000</v>
      </c>
      <c r="F23" s="178" t="s">
        <v>102</v>
      </c>
      <c r="G23" s="179">
        <v>150.863</v>
      </c>
      <c r="H23" s="179">
        <v>150.53</v>
      </c>
      <c r="I23" s="180">
        <f t="shared" si="1"/>
        <v>0.33299999999999841</v>
      </c>
      <c r="J23" s="179">
        <v>152.636</v>
      </c>
      <c r="K23" s="177" t="d">
        <v>2021-12-07T11:01:59.99999997206032275</v>
      </c>
      <c r="L23" s="179">
        <v>150.679</v>
      </c>
      <c r="M23" s="181">
        <f t="shared" si="2"/>
        <v>-0.184</v>
      </c>
      <c r="N23" s="182">
        <f t="shared" si="3"/>
        <v>-0.55000000000000004</v>
      </c>
      <c r="O23" s="183">
        <f t="shared" si="4"/>
        <v>0</v>
      </c>
      <c r="P23" s="184">
        <f t="shared" si="5"/>
        <v>0</v>
      </c>
      <c r="Q23" s="184">
        <f t="shared" si="6"/>
        <v>-0.55000000000000004</v>
      </c>
      <c r="R2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32927.5</v>
      </c>
      <c r="T2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33422.5</v>
      </c>
      <c r="U23" s="186">
        <f ca="1">IF(Tabla33610673486[[#This Row],[Equity]]&lt;Tabla33610673486[[#This Row],[Equity Peak]],(Tabla33610673486[[#This Row],[Equity Peak]]-Tabla33610673486[[#This Row],[Equity]])/Tabla33610673486[[#This Row],[Equity Peak]],"")</f>
        <v>1.4810382227541326E-2</v>
      </c>
      <c r="V23" s="187">
        <f t="shared" si="7"/>
        <v>-0.55000000000000004</v>
      </c>
      <c r="W23" s="187">
        <f t="shared" si="8"/>
        <v>0</v>
      </c>
      <c r="X23" s="187">
        <f t="shared" si="9"/>
        <v>0</v>
      </c>
      <c r="Y23" s="187">
        <f t="shared" si="10"/>
        <v>0</v>
      </c>
      <c r="Z23" s="187">
        <f t="shared" si="11"/>
        <v>0</v>
      </c>
      <c r="AA23" s="183">
        <f t="shared" si="12"/>
        <v>0</v>
      </c>
      <c r="AB23" s="187">
        <f t="shared" si="13"/>
        <v>0</v>
      </c>
      <c r="AC23" s="183">
        <f t="shared" si="14"/>
        <v>0</v>
      </c>
      <c r="AD23" s="188">
        <f t="shared" si="15"/>
        <v>0.20972222222189885</v>
      </c>
      <c r="AE23" s="188">
        <f t="shared" si="16"/>
        <v>0</v>
      </c>
      <c r="AF23" s="188">
        <f t="shared" si="17"/>
        <v>0.20972222222189885</v>
      </c>
      <c r="AG23" s="188">
        <f t="shared" si="18"/>
        <v>0</v>
      </c>
    </row>
    <row r="24" spans="1:35" ht="15" customHeight="1" x14ac:dyDescent="0.15">
      <c r="B24" s="174" t="s">
        <v>7</v>
      </c>
      <c r="C24" s="175" t="s">
        <v>13</v>
      </c>
      <c r="D24" s="176" t="str">
        <f t="shared" si="0"/>
        <v>C</v>
      </c>
      <c r="E24" s="177" t="d">
        <v>2021-12-03T18:59:59.99999979045242400</v>
      </c>
      <c r="F24" s="178" t="s">
        <v>102</v>
      </c>
      <c r="G24" s="179">
        <v>149.35499999999999</v>
      </c>
      <c r="H24" s="179">
        <v>149.77099999999999</v>
      </c>
      <c r="I24" s="180">
        <f t="shared" si="1"/>
        <v>0.41599999999999682</v>
      </c>
      <c r="J24" s="179">
        <v>147.13800000000001</v>
      </c>
      <c r="K24" s="177" t="d">
        <v>2021-12-06T01:02:00.00000018160789875</v>
      </c>
      <c r="L24" s="179">
        <v>149.53200000000001</v>
      </c>
      <c r="M24" s="181">
        <f t="shared" si="2"/>
        <v>-0.17699999999999999</v>
      </c>
      <c r="N24" s="182">
        <f t="shared" si="3"/>
        <v>-0.43</v>
      </c>
      <c r="O24" s="183">
        <f t="shared" si="4"/>
        <v>0</v>
      </c>
      <c r="P24" s="184">
        <f t="shared" si="5"/>
        <v>0</v>
      </c>
      <c r="Q24" s="184">
        <f t="shared" si="6"/>
        <v>-0.43</v>
      </c>
      <c r="R2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33065</v>
      </c>
      <c r="T2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33422.5</v>
      </c>
      <c r="U24" s="186">
        <f ca="1">IF(Tabla33610673486[[#This Row],[Equity]]&lt;Tabla33610673486[[#This Row],[Equity Peak]],(Tabla33610673486[[#This Row],[Equity Peak]]-Tabla33610673486[[#This Row],[Equity]])/Tabla33610673486[[#This Row],[Equity Peak]],"")</f>
        <v>1.0696387164335403E-2</v>
      </c>
      <c r="V24" s="187">
        <f t="shared" si="7"/>
        <v>-0.43</v>
      </c>
      <c r="W24" s="187">
        <f t="shared" si="8"/>
        <v>0</v>
      </c>
      <c r="X24" s="187">
        <f t="shared" si="9"/>
        <v>0</v>
      </c>
      <c r="Y24" s="187">
        <f t="shared" si="10"/>
        <v>0</v>
      </c>
      <c r="Z24" s="187">
        <f t="shared" si="11"/>
        <v>0</v>
      </c>
      <c r="AA24" s="183">
        <f t="shared" si="12"/>
        <v>0</v>
      </c>
      <c r="AB24" s="187">
        <f t="shared" si="13"/>
        <v>0</v>
      </c>
      <c r="AC24" s="183">
        <f t="shared" si="14"/>
        <v>0</v>
      </c>
      <c r="AD24" s="188">
        <f t="shared" si="15"/>
        <v>2.2513888888934162</v>
      </c>
      <c r="AE24" s="188">
        <f t="shared" si="16"/>
        <v>0</v>
      </c>
      <c r="AF24" s="188">
        <f t="shared" si="17"/>
        <v>2.2513888888934162</v>
      </c>
      <c r="AG24" s="188">
        <f t="shared" si="18"/>
        <v>0</v>
      </c>
    </row>
    <row r="25" spans="1:35" ht="15" customHeight="1" x14ac:dyDescent="0.15">
      <c r="B25" s="174" t="s">
        <v>7</v>
      </c>
      <c r="C25" s="175" t="s">
        <v>13</v>
      </c>
      <c r="D25" s="176" t="str">
        <f t="shared" si="0"/>
        <v>C</v>
      </c>
      <c r="E25" s="177" t="d">
        <v>2021-12-01T22:30:00.000</v>
      </c>
      <c r="F25" s="178" t="s">
        <v>102</v>
      </c>
      <c r="G25" s="179">
        <v>149.661</v>
      </c>
      <c r="H25" s="179">
        <v>150.14400000000001</v>
      </c>
      <c r="I25" s="180">
        <f t="shared" si="1"/>
        <v>0.48300000000000409</v>
      </c>
      <c r="J25" s="179">
        <v>147.083</v>
      </c>
      <c r="K25" s="177" t="d">
        <v>2021-12-02T03:34:59.99999993015081025</v>
      </c>
      <c r="L25" s="179">
        <v>150.14400000000001</v>
      </c>
      <c r="M25" s="181">
        <f t="shared" si="2"/>
        <v>-0.48299999999999998</v>
      </c>
      <c r="N25" s="182">
        <f t="shared" si="3"/>
        <v>-1</v>
      </c>
      <c r="O25" s="183">
        <f t="shared" si="4"/>
        <v>0</v>
      </c>
      <c r="P25" s="184">
        <f t="shared" si="5"/>
        <v>0</v>
      </c>
      <c r="Q25" s="184">
        <f t="shared" si="6"/>
        <v>-1</v>
      </c>
      <c r="R2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33172.5</v>
      </c>
      <c r="T2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33422.5</v>
      </c>
      <c r="U25" s="186">
        <f ca="1">IF(Tabla33610673486[[#This Row],[Equity]]&lt;Tabla33610673486[[#This Row],[Equity Peak]],(Tabla33610673486[[#This Row],[Equity Peak]]-Tabla33610673486[[#This Row],[Equity]])/Tabla33610673486[[#This Row],[Equity Peak]],"")</f>
        <v>7.4799910240107709E-3</v>
      </c>
      <c r="V25" s="187">
        <f t="shared" si="7"/>
        <v>-1</v>
      </c>
      <c r="W25" s="187">
        <f t="shared" si="8"/>
        <v>0</v>
      </c>
      <c r="X25" s="187">
        <f t="shared" si="9"/>
        <v>0</v>
      </c>
      <c r="Y25" s="187">
        <f t="shared" si="10"/>
        <v>0</v>
      </c>
      <c r="Z25" s="187">
        <f t="shared" si="11"/>
        <v>0</v>
      </c>
      <c r="AA25" s="183">
        <f t="shared" si="12"/>
        <v>0</v>
      </c>
      <c r="AB25" s="187">
        <f t="shared" si="13"/>
        <v>0</v>
      </c>
      <c r="AC25" s="183">
        <f t="shared" si="14"/>
        <v>0</v>
      </c>
      <c r="AD25" s="188">
        <f t="shared" si="15"/>
        <v>0.21180555555474712</v>
      </c>
      <c r="AE25" s="188">
        <f t="shared" si="16"/>
        <v>0</v>
      </c>
      <c r="AF25" s="188">
        <f t="shared" si="17"/>
        <v>0.21180555555474712</v>
      </c>
      <c r="AG25" s="188">
        <f t="shared" si="18"/>
        <v>0</v>
      </c>
    </row>
    <row r="26" spans="1:35" ht="15" customHeight="1" x14ac:dyDescent="0.15">
      <c r="B26" s="174" t="s">
        <v>7</v>
      </c>
      <c r="C26" s="175" t="s">
        <v>13</v>
      </c>
      <c r="D26" s="176" t="str">
        <f t="shared" si="0"/>
        <v>C</v>
      </c>
      <c r="E26" s="177" t="d">
        <v>2021-11-30T08:00:00.00000020954757600</v>
      </c>
      <c r="F26" s="178" t="s">
        <v>102</v>
      </c>
      <c r="G26" s="179">
        <v>150.601</v>
      </c>
      <c r="H26" s="179">
        <v>151.05000000000001</v>
      </c>
      <c r="I26" s="180">
        <f t="shared" si="1"/>
        <v>0.44900000000001228</v>
      </c>
      <c r="J26" s="179">
        <v>148.20500000000001</v>
      </c>
      <c r="K26" s="177" t="d">
        <v>2021-11-30T23:38:00.000000097788870375</v>
      </c>
      <c r="L26" s="179">
        <v>150.489</v>
      </c>
      <c r="M26" s="181">
        <f t="shared" si="2"/>
        <v>0.112</v>
      </c>
      <c r="N26" s="182">
        <f t="shared" si="3"/>
        <v>0.25</v>
      </c>
      <c r="O26" s="183">
        <f t="shared" si="4"/>
        <v>0</v>
      </c>
      <c r="P26" s="184">
        <f t="shared" si="5"/>
        <v>0.25</v>
      </c>
      <c r="Q26" s="184">
        <f t="shared" si="6"/>
        <v>0</v>
      </c>
      <c r="R2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33422.5</v>
      </c>
      <c r="T2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33422.5</v>
      </c>
      <c r="U26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26" s="187">
        <f t="shared" si="7"/>
        <v>0.25</v>
      </c>
      <c r="W26" s="187">
        <f t="shared" si="8"/>
        <v>0</v>
      </c>
      <c r="X26" s="187">
        <f t="shared" si="9"/>
        <v>0</v>
      </c>
      <c r="Y26" s="187">
        <f t="shared" si="10"/>
        <v>0</v>
      </c>
      <c r="Z26" s="187">
        <f t="shared" si="11"/>
        <v>0</v>
      </c>
      <c r="AA26" s="183">
        <f t="shared" si="12"/>
        <v>0</v>
      </c>
      <c r="AB26" s="187">
        <f t="shared" si="13"/>
        <v>0</v>
      </c>
      <c r="AC26" s="183">
        <f t="shared" si="14"/>
        <v>0</v>
      </c>
      <c r="AD26" s="188">
        <f t="shared" si="15"/>
        <v>0.65138888888759539</v>
      </c>
      <c r="AE26" s="188">
        <f t="shared" si="16"/>
        <v>0.65138888888759539</v>
      </c>
      <c r="AF26" s="188">
        <f t="shared" si="17"/>
        <v>0</v>
      </c>
      <c r="AG26" s="188">
        <f t="shared" si="18"/>
        <v>0</v>
      </c>
    </row>
    <row r="27" spans="1:35" ht="15" customHeight="1" x14ac:dyDescent="0.15">
      <c r="B27" s="174" t="s">
        <v>7</v>
      </c>
      <c r="C27" s="175" t="s">
        <v>13</v>
      </c>
      <c r="D27" s="176" t="str">
        <f t="shared" si="0"/>
        <v>C</v>
      </c>
      <c r="E27" s="177" t="d">
        <v>2021-11-26T02:00:00.00000020954757600</v>
      </c>
      <c r="F27" s="178" t="s">
        <v>102</v>
      </c>
      <c r="G27" s="179">
        <v>153.196</v>
      </c>
      <c r="H27" s="179">
        <v>153.416</v>
      </c>
      <c r="I27" s="180">
        <f t="shared" si="1"/>
        <v>0.21999999999999886</v>
      </c>
      <c r="J27" s="179">
        <v>152.02199999999999</v>
      </c>
      <c r="K27" s="177" t="d">
        <v>2021-11-26T09:42:00.0000000419095125</v>
      </c>
      <c r="L27" s="179">
        <v>152.02199999999999</v>
      </c>
      <c r="M27" s="181">
        <f t="shared" si="2"/>
        <v>1.1739999999999999</v>
      </c>
      <c r="N27" s="182">
        <f t="shared" si="3"/>
        <v>5.34</v>
      </c>
      <c r="O27" s="183">
        <f t="shared" si="4"/>
        <v>0</v>
      </c>
      <c r="P27" s="184">
        <f t="shared" si="5"/>
        <v>5.34</v>
      </c>
      <c r="Q27" s="184">
        <f t="shared" si="6"/>
        <v>0</v>
      </c>
      <c r="R2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33360</v>
      </c>
      <c r="T2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33360</v>
      </c>
      <c r="U27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27" s="187">
        <f t="shared" si="7"/>
        <v>5.34</v>
      </c>
      <c r="W27" s="187">
        <f t="shared" si="8"/>
        <v>0</v>
      </c>
      <c r="X27" s="187">
        <f t="shared" si="9"/>
        <v>0</v>
      </c>
      <c r="Y27" s="187">
        <f t="shared" si="10"/>
        <v>0</v>
      </c>
      <c r="Z27" s="187">
        <f t="shared" si="11"/>
        <v>0</v>
      </c>
      <c r="AA27" s="183">
        <f t="shared" si="12"/>
        <v>0</v>
      </c>
      <c r="AB27" s="187">
        <f t="shared" si="13"/>
        <v>0</v>
      </c>
      <c r="AC27" s="183">
        <f t="shared" si="14"/>
        <v>0</v>
      </c>
      <c r="AD27" s="188">
        <f t="shared" si="15"/>
        <v>0.32083333333139308</v>
      </c>
      <c r="AE27" s="188">
        <f t="shared" si="16"/>
        <v>0.32083333333139308</v>
      </c>
      <c r="AF27" s="188">
        <f t="shared" si="17"/>
        <v>0</v>
      </c>
      <c r="AG27" s="188">
        <f t="shared" si="18"/>
        <v>0</v>
      </c>
    </row>
    <row r="28" spans="1:35" ht="15" customHeight="1" x14ac:dyDescent="0.15">
      <c r="B28" s="174" t="s">
        <v>7</v>
      </c>
      <c r="C28" s="175" t="s">
        <v>13</v>
      </c>
      <c r="D28" s="176" t="str">
        <f t="shared" si="0"/>
        <v>C</v>
      </c>
      <c r="E28" s="177" t="d">
        <v>2021-11-19T11:45:00.00000020954757600</v>
      </c>
      <c r="F28" s="178" t="s">
        <v>102</v>
      </c>
      <c r="G28" s="179">
        <v>153.149</v>
      </c>
      <c r="H28" s="179">
        <v>153.44900000000001</v>
      </c>
      <c r="I28" s="180">
        <f t="shared" si="1"/>
        <v>0.30000000000001137</v>
      </c>
      <c r="J28" s="179">
        <v>151.547</v>
      </c>
      <c r="K28" s="177" t="d">
        <v>2021-11-19T12:40:59.99999984633177850</v>
      </c>
      <c r="L28" s="179">
        <v>153.11000000000001</v>
      </c>
      <c r="M28" s="181">
        <f t="shared" si="2"/>
        <v>3.9E-2</v>
      </c>
      <c r="N28" s="182">
        <f t="shared" si="3"/>
        <v>0.13</v>
      </c>
      <c r="O28" s="183">
        <f t="shared" si="4"/>
        <v>0</v>
      </c>
      <c r="P28" s="184">
        <f t="shared" si="5"/>
        <v>0.13</v>
      </c>
      <c r="Q28" s="184">
        <f t="shared" si="6"/>
        <v>0</v>
      </c>
      <c r="R2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32025</v>
      </c>
      <c r="T2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32025</v>
      </c>
      <c r="U28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28" s="187">
        <f t="shared" si="7"/>
        <v>0.13</v>
      </c>
      <c r="W28" s="187">
        <f t="shared" si="8"/>
        <v>0</v>
      </c>
      <c r="X28" s="187">
        <f t="shared" si="9"/>
        <v>0</v>
      </c>
      <c r="Y28" s="187">
        <f t="shared" si="10"/>
        <v>0</v>
      </c>
      <c r="Z28" s="187">
        <f t="shared" si="11"/>
        <v>0</v>
      </c>
      <c r="AA28" s="183">
        <f t="shared" si="12"/>
        <v>0</v>
      </c>
      <c r="AB28" s="187">
        <f t="shared" si="13"/>
        <v>0</v>
      </c>
      <c r="AC28" s="183">
        <f t="shared" si="14"/>
        <v>0</v>
      </c>
      <c r="AD28" s="188">
        <f t="shared" si="15"/>
        <v>3.8888888884685002E-2</v>
      </c>
      <c r="AE28" s="188">
        <f t="shared" si="16"/>
        <v>3.8888888884685002E-2</v>
      </c>
      <c r="AF28" s="188">
        <f t="shared" si="17"/>
        <v>0</v>
      </c>
      <c r="AG28" s="188">
        <f t="shared" si="18"/>
        <v>0</v>
      </c>
    </row>
    <row r="29" spans="1:35" ht="15" customHeight="1" x14ac:dyDescent="0.15">
      <c r="B29" s="174" t="s">
        <v>7</v>
      </c>
      <c r="C29" s="175" t="s">
        <v>15</v>
      </c>
      <c r="D29" s="176" t="str">
        <f t="shared" si="0"/>
        <v>C</v>
      </c>
      <c r="E29" s="177" t="d">
        <v>2021-11-16T03:45:00.000</v>
      </c>
      <c r="F29" s="178" t="s">
        <v>102</v>
      </c>
      <c r="G29" s="179">
        <v>153.32400000000001</v>
      </c>
      <c r="H29" s="179">
        <v>153.05799999999999</v>
      </c>
      <c r="I29" s="180">
        <f t="shared" si="1"/>
        <v>0.26600000000001955</v>
      </c>
      <c r="J29" s="179">
        <v>154.74199999999999</v>
      </c>
      <c r="K29" s="177" t="d">
        <v>2021-11-17T11:55:00.0000002793967725</v>
      </c>
      <c r="L29" s="179">
        <v>154.18199999999999</v>
      </c>
      <c r="M29" s="181">
        <f t="shared" si="2"/>
        <v>0.85799999999999998</v>
      </c>
      <c r="N29" s="182">
        <f t="shared" si="3"/>
        <v>3.23</v>
      </c>
      <c r="O29" s="183">
        <f t="shared" si="4"/>
        <v>0</v>
      </c>
      <c r="P29" s="184">
        <f t="shared" si="5"/>
        <v>3.23</v>
      </c>
      <c r="Q29" s="184">
        <f t="shared" si="6"/>
        <v>0</v>
      </c>
      <c r="R2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31992.5</v>
      </c>
      <c r="T2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31992.5</v>
      </c>
      <c r="U29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29" s="187">
        <f t="shared" si="7"/>
        <v>3.23</v>
      </c>
      <c r="W29" s="187">
        <f t="shared" si="8"/>
        <v>0</v>
      </c>
      <c r="X29" s="187">
        <f t="shared" si="9"/>
        <v>0</v>
      </c>
      <c r="Y29" s="187">
        <f t="shared" si="10"/>
        <v>0</v>
      </c>
      <c r="Z29" s="187">
        <f t="shared" si="11"/>
        <v>0</v>
      </c>
      <c r="AA29" s="183">
        <f t="shared" si="12"/>
        <v>0</v>
      </c>
      <c r="AB29" s="187">
        <f t="shared" si="13"/>
        <v>0</v>
      </c>
      <c r="AC29" s="183">
        <f t="shared" si="14"/>
        <v>0</v>
      </c>
      <c r="AD29" s="188">
        <f t="shared" si="15"/>
        <v>1.3402777777810115</v>
      </c>
      <c r="AE29" s="188">
        <f t="shared" si="16"/>
        <v>1.3402777777810115</v>
      </c>
      <c r="AF29" s="188">
        <f t="shared" si="17"/>
        <v>0</v>
      </c>
      <c r="AG29" s="188">
        <f t="shared" si="18"/>
        <v>0</v>
      </c>
    </row>
    <row r="30" spans="1:35" ht="15" customHeight="1" x14ac:dyDescent="0.15">
      <c r="B30" s="174" t="s">
        <v>7</v>
      </c>
      <c r="C30" s="175" t="s">
        <v>13</v>
      </c>
      <c r="D30" s="176" t="str">
        <f t="shared" si="0"/>
        <v>C</v>
      </c>
      <c r="E30" s="177" t="d">
        <v>2021-11-11T20:15:00.000</v>
      </c>
      <c r="F30" s="178" t="s">
        <v>102</v>
      </c>
      <c r="G30" s="179">
        <v>152.41300000000001</v>
      </c>
      <c r="H30" s="179">
        <v>152.78200000000001</v>
      </c>
      <c r="I30" s="180">
        <f t="shared" si="1"/>
        <v>0.36899999999999977</v>
      </c>
      <c r="J30" s="179">
        <v>150.44399999999999</v>
      </c>
      <c r="K30" s="177" t="d">
        <v>2021-11-12T09:11:59.99999983236193650</v>
      </c>
      <c r="L30" s="179">
        <v>152.78200000000001</v>
      </c>
      <c r="M30" s="181">
        <f t="shared" si="2"/>
        <v>-0.36899999999999999</v>
      </c>
      <c r="N30" s="182">
        <f t="shared" si="3"/>
        <v>-1</v>
      </c>
      <c r="O30" s="183">
        <f t="shared" si="4"/>
        <v>0</v>
      </c>
      <c r="P30" s="184">
        <f t="shared" si="5"/>
        <v>0</v>
      </c>
      <c r="Q30" s="184">
        <f t="shared" si="6"/>
        <v>-1</v>
      </c>
      <c r="R3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31185</v>
      </c>
      <c r="T3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31935</v>
      </c>
      <c r="U30" s="186">
        <f ca="1">IF(Tabla33610673486[[#This Row],[Equity]]&lt;Tabla33610673486[[#This Row],[Equity Peak]],(Tabla33610673486[[#This Row],[Equity Peak]]-Tabla33610673486[[#This Row],[Equity]])/Tabla33610673486[[#This Row],[Equity Peak]],"")</f>
        <v>2.3485204321277594E-2</v>
      </c>
      <c r="V30" s="187">
        <f t="shared" si="7"/>
        <v>-1</v>
      </c>
      <c r="W30" s="187">
        <f t="shared" si="8"/>
        <v>0</v>
      </c>
      <c r="X30" s="187">
        <f t="shared" si="9"/>
        <v>0</v>
      </c>
      <c r="Y30" s="187">
        <f t="shared" si="10"/>
        <v>0</v>
      </c>
      <c r="Z30" s="187">
        <f t="shared" si="11"/>
        <v>0</v>
      </c>
      <c r="AA30" s="183">
        <f t="shared" si="12"/>
        <v>0</v>
      </c>
      <c r="AB30" s="187">
        <f t="shared" si="13"/>
        <v>0</v>
      </c>
      <c r="AC30" s="183">
        <f t="shared" si="14"/>
        <v>0</v>
      </c>
      <c r="AD30" s="188">
        <f t="shared" si="15"/>
        <v>0.53958333333139308</v>
      </c>
      <c r="AE30" s="188">
        <f t="shared" si="16"/>
        <v>0</v>
      </c>
      <c r="AF30" s="188">
        <f t="shared" si="17"/>
        <v>0.53958333333139308</v>
      </c>
      <c r="AG30" s="188">
        <f t="shared" si="18"/>
        <v>0</v>
      </c>
    </row>
    <row r="31" spans="1:35" ht="15" customHeight="1" x14ac:dyDescent="0.15">
      <c r="B31" s="174" t="s">
        <v>7</v>
      </c>
      <c r="C31" s="175" t="s">
        <v>13</v>
      </c>
      <c r="D31" s="176" t="str">
        <f t="shared" si="0"/>
        <v>C</v>
      </c>
      <c r="E31" s="177" t="d">
        <v>2021-11-10T21:45:00.000</v>
      </c>
      <c r="F31" s="178" t="s">
        <v>102</v>
      </c>
      <c r="G31" s="179">
        <v>152.672</v>
      </c>
      <c r="H31" s="179">
        <v>153.02600000000001</v>
      </c>
      <c r="I31" s="180">
        <f t="shared" si="1"/>
        <v>0.35400000000001342</v>
      </c>
      <c r="J31" s="179">
        <v>150.785</v>
      </c>
      <c r="K31" s="177" t="d">
        <v>2021-11-11T08:28:00.00000002793967725</v>
      </c>
      <c r="L31" s="179">
        <v>153.02600000000001</v>
      </c>
      <c r="M31" s="181">
        <f t="shared" si="2"/>
        <v>-0.35399999999999998</v>
      </c>
      <c r="N31" s="182">
        <f t="shared" si="3"/>
        <v>-1</v>
      </c>
      <c r="O31" s="183">
        <f t="shared" si="4"/>
        <v>0</v>
      </c>
      <c r="P31" s="184">
        <f t="shared" si="5"/>
        <v>0</v>
      </c>
      <c r="Q31" s="184">
        <f t="shared" si="6"/>
        <v>-1</v>
      </c>
      <c r="R3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31435</v>
      </c>
      <c r="T3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31935</v>
      </c>
      <c r="U31" s="186">
        <f ca="1">IF(Tabla33610673486[[#This Row],[Equity]]&lt;Tabla33610673486[[#This Row],[Equity Peak]],(Tabla33610673486[[#This Row],[Equity Peak]]-Tabla33610673486[[#This Row],[Equity]])/Tabla33610673486[[#This Row],[Equity Peak]],"")</f>
        <v>1.5656802880851729E-2</v>
      </c>
      <c r="V31" s="187">
        <f t="shared" si="7"/>
        <v>-1</v>
      </c>
      <c r="W31" s="187">
        <f t="shared" si="8"/>
        <v>0</v>
      </c>
      <c r="X31" s="187">
        <f t="shared" si="9"/>
        <v>0</v>
      </c>
      <c r="Y31" s="187">
        <f t="shared" si="10"/>
        <v>0</v>
      </c>
      <c r="Z31" s="187">
        <f t="shared" si="11"/>
        <v>0</v>
      </c>
      <c r="AA31" s="183">
        <f t="shared" si="12"/>
        <v>0</v>
      </c>
      <c r="AB31" s="187">
        <f t="shared" si="13"/>
        <v>0</v>
      </c>
      <c r="AC31" s="183">
        <f t="shared" si="14"/>
        <v>0</v>
      </c>
      <c r="AD31" s="188">
        <f t="shared" si="15"/>
        <v>0.44652777777810115</v>
      </c>
      <c r="AE31" s="188">
        <f t="shared" si="16"/>
        <v>0</v>
      </c>
      <c r="AF31" s="188">
        <f t="shared" si="17"/>
        <v>0.44652777777810115</v>
      </c>
      <c r="AG31" s="188">
        <f t="shared" si="18"/>
        <v>0</v>
      </c>
    </row>
    <row r="32" spans="1:35" ht="15" customHeight="1" x14ac:dyDescent="0.15">
      <c r="B32" s="174" t="s">
        <v>7</v>
      </c>
      <c r="C32" s="175" t="s">
        <v>15</v>
      </c>
      <c r="D32" s="176" t="str">
        <f t="shared" si="0"/>
        <v>C</v>
      </c>
      <c r="E32" s="177" t="d">
        <v>2021-11-10T17:00:00.00000020954757600</v>
      </c>
      <c r="F32" s="178" t="s">
        <v>102</v>
      </c>
      <c r="G32" s="179">
        <v>153.691</v>
      </c>
      <c r="H32" s="179">
        <v>153.35</v>
      </c>
      <c r="I32" s="180">
        <f t="shared" si="1"/>
        <v>0.34100000000000819</v>
      </c>
      <c r="J32" s="179">
        <v>155.50800000000001</v>
      </c>
      <c r="K32" s="177" t="d">
        <v>2021-11-10T19:28:00.00000023748725325</v>
      </c>
      <c r="L32" s="179">
        <v>153.35</v>
      </c>
      <c r="M32" s="181">
        <f t="shared" si="2"/>
        <v>-0.34100000000000003</v>
      </c>
      <c r="N32" s="182">
        <f t="shared" si="3"/>
        <v>-1</v>
      </c>
      <c r="O32" s="183">
        <f t="shared" si="4"/>
        <v>0</v>
      </c>
      <c r="P32" s="184">
        <f t="shared" si="5"/>
        <v>0</v>
      </c>
      <c r="Q32" s="184">
        <f t="shared" si="6"/>
        <v>-1</v>
      </c>
      <c r="R3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31685</v>
      </c>
      <c r="T3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31935</v>
      </c>
      <c r="U32" s="186">
        <f ca="1">IF(Tabla33610673486[[#This Row],[Equity]]&lt;Tabla33610673486[[#This Row],[Equity Peak]],(Tabla33610673486[[#This Row],[Equity Peak]]-Tabla33610673486[[#This Row],[Equity]])/Tabla33610673486[[#This Row],[Equity Peak]],"")</f>
        <v>7.8284014404258646E-3</v>
      </c>
      <c r="V32" s="187">
        <f t="shared" si="7"/>
        <v>-1</v>
      </c>
      <c r="W32" s="187">
        <f t="shared" si="8"/>
        <v>0</v>
      </c>
      <c r="X32" s="187">
        <f t="shared" si="9"/>
        <v>0</v>
      </c>
      <c r="Y32" s="187">
        <f t="shared" si="10"/>
        <v>0</v>
      </c>
      <c r="Z32" s="187">
        <f t="shared" si="11"/>
        <v>0</v>
      </c>
      <c r="AA32" s="183">
        <f t="shared" si="12"/>
        <v>0</v>
      </c>
      <c r="AB32" s="187">
        <f t="shared" si="13"/>
        <v>0</v>
      </c>
      <c r="AC32" s="183">
        <f t="shared" si="14"/>
        <v>0</v>
      </c>
      <c r="AD32" s="188">
        <f t="shared" si="15"/>
        <v>0.10277777777810115</v>
      </c>
      <c r="AE32" s="188">
        <f t="shared" si="16"/>
        <v>0</v>
      </c>
      <c r="AF32" s="188">
        <f t="shared" si="17"/>
        <v>0.10277777777810115</v>
      </c>
      <c r="AG32" s="188">
        <f t="shared" si="18"/>
        <v>0</v>
      </c>
    </row>
    <row r="33" spans="2:33" ht="15" customHeight="1" x14ac:dyDescent="0.15">
      <c r="B33" s="174" t="s">
        <v>7</v>
      </c>
      <c r="C33" s="175" t="s">
        <v>13</v>
      </c>
      <c r="D33" s="176" t="str">
        <f t="shared" si="0"/>
        <v>C</v>
      </c>
      <c r="E33" s="177" t="d">
        <v>2021-11-04T15:14:59.99999979045242400</v>
      </c>
      <c r="F33" s="178" t="s">
        <v>102</v>
      </c>
      <c r="G33" s="179">
        <v>154.42099999999999</v>
      </c>
      <c r="H33" s="179">
        <v>154.75399999999999</v>
      </c>
      <c r="I33" s="180">
        <f t="shared" si="1"/>
        <v>0.33299999999999841</v>
      </c>
      <c r="J33" s="179">
        <v>152.643</v>
      </c>
      <c r="K33" s="177" t="d">
        <v>2021-11-05T01:31:00.00000019557774075</v>
      </c>
      <c r="L33" s="179">
        <v>153.745</v>
      </c>
      <c r="M33" s="181">
        <f t="shared" si="2"/>
        <v>0.67600000000000005</v>
      </c>
      <c r="N33" s="182">
        <f t="shared" si="3"/>
        <v>2.0299999999999998</v>
      </c>
      <c r="O33" s="183">
        <f t="shared" si="4"/>
        <v>0</v>
      </c>
      <c r="P33" s="184">
        <f t="shared" si="5"/>
        <v>2.0299999999999998</v>
      </c>
      <c r="Q33" s="184">
        <f t="shared" si="6"/>
        <v>0</v>
      </c>
      <c r="R3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31935</v>
      </c>
      <c r="T3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31935</v>
      </c>
      <c r="U33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33" s="187">
        <f t="shared" si="7"/>
        <v>2.0299999999999998</v>
      </c>
      <c r="W33" s="187">
        <f t="shared" si="8"/>
        <v>0</v>
      </c>
      <c r="X33" s="187">
        <f t="shared" si="9"/>
        <v>0</v>
      </c>
      <c r="Y33" s="187">
        <f t="shared" si="10"/>
        <v>0</v>
      </c>
      <c r="Z33" s="187">
        <f t="shared" si="11"/>
        <v>0</v>
      </c>
      <c r="AA33" s="183">
        <f t="shared" si="12"/>
        <v>0</v>
      </c>
      <c r="AB33" s="187">
        <f t="shared" si="13"/>
        <v>0</v>
      </c>
      <c r="AC33" s="183">
        <f t="shared" si="14"/>
        <v>0</v>
      </c>
      <c r="AD33" s="188">
        <f t="shared" si="15"/>
        <v>0.42777777778246673</v>
      </c>
      <c r="AE33" s="188">
        <f t="shared" si="16"/>
        <v>0.42777777778246673</v>
      </c>
      <c r="AF33" s="188">
        <f t="shared" si="17"/>
        <v>0</v>
      </c>
      <c r="AG33" s="188">
        <f t="shared" si="18"/>
        <v>0</v>
      </c>
    </row>
    <row r="34" spans="2:33" ht="15" customHeight="1" x14ac:dyDescent="0.15">
      <c r="B34" s="174" t="s">
        <v>7</v>
      </c>
      <c r="C34" s="175" t="s">
        <v>13</v>
      </c>
      <c r="D34" s="176" t="str">
        <f t="shared" si="0"/>
        <v>C</v>
      </c>
      <c r="E34" s="177" t="d">
        <v>2021-11-01T21:14:59.99999979045242400</v>
      </c>
      <c r="F34" s="178" t="s">
        <v>102</v>
      </c>
      <c r="G34" s="179">
        <v>155.71100000000001</v>
      </c>
      <c r="H34" s="179">
        <v>156.1</v>
      </c>
      <c r="I34" s="180">
        <f t="shared" si="1"/>
        <v>0.38899999999998158</v>
      </c>
      <c r="J34" s="179">
        <v>153.63399999999999</v>
      </c>
      <c r="K34" s="177" t="d">
        <v>2021-11-02T15:01:00.00000019557774075</v>
      </c>
      <c r="L34" s="179">
        <v>155.22999999999999</v>
      </c>
      <c r="M34" s="181">
        <f t="shared" si="2"/>
        <v>0.48099999999999998</v>
      </c>
      <c r="N34" s="182">
        <f t="shared" si="3"/>
        <v>1.24</v>
      </c>
      <c r="O34" s="183">
        <f t="shared" si="4"/>
        <v>0</v>
      </c>
      <c r="P34" s="184">
        <f t="shared" si="5"/>
        <v>1.24</v>
      </c>
      <c r="Q34" s="184">
        <f t="shared" si="6"/>
        <v>0</v>
      </c>
      <c r="R3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31427.5</v>
      </c>
      <c r="T3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31427.5</v>
      </c>
      <c r="U34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34" s="187">
        <f t="shared" si="7"/>
        <v>1.24</v>
      </c>
      <c r="W34" s="187">
        <f t="shared" si="8"/>
        <v>0</v>
      </c>
      <c r="X34" s="187">
        <f t="shared" si="9"/>
        <v>0</v>
      </c>
      <c r="Y34" s="187">
        <f t="shared" si="10"/>
        <v>0</v>
      </c>
      <c r="Z34" s="187">
        <f t="shared" si="11"/>
        <v>0</v>
      </c>
      <c r="AA34" s="183">
        <f t="shared" si="12"/>
        <v>0</v>
      </c>
      <c r="AB34" s="187">
        <f t="shared" si="13"/>
        <v>0</v>
      </c>
      <c r="AC34" s="183">
        <f t="shared" si="14"/>
        <v>0</v>
      </c>
      <c r="AD34" s="188">
        <f t="shared" si="15"/>
        <v>0.74027777778246673</v>
      </c>
      <c r="AE34" s="188">
        <f t="shared" si="16"/>
        <v>0.74027777778246673</v>
      </c>
      <c r="AF34" s="188">
        <f t="shared" si="17"/>
        <v>0</v>
      </c>
      <c r="AG34" s="188">
        <f t="shared" si="18"/>
        <v>0</v>
      </c>
    </row>
    <row r="35" spans="2:33" ht="15" customHeight="1" x14ac:dyDescent="0.15">
      <c r="B35" s="174" t="s">
        <v>7</v>
      </c>
      <c r="C35" s="175" t="s">
        <v>13</v>
      </c>
      <c r="D35" s="176" t="str">
        <f t="shared" si="0"/>
        <v>C</v>
      </c>
      <c r="E35" s="177" t="d">
        <v>2021-10-22T16:15:00.00000020954757600</v>
      </c>
      <c r="F35" s="178" t="s">
        <v>102</v>
      </c>
      <c r="G35" s="179">
        <v>156.75700000000001</v>
      </c>
      <c r="H35" s="179">
        <v>157.155</v>
      </c>
      <c r="I35" s="180">
        <f t="shared" si="1"/>
        <v>0.39799999999999613</v>
      </c>
      <c r="J35" s="179">
        <v>154.63300000000001</v>
      </c>
      <c r="K35" s="177" t="d">
        <v>2021-10-25T03:50:59.99999991618096825</v>
      </c>
      <c r="L35" s="179">
        <v>156.51900000000001</v>
      </c>
      <c r="M35" s="181">
        <f t="shared" si="2"/>
        <v>0.23799999999999999</v>
      </c>
      <c r="N35" s="182">
        <f t="shared" si="3"/>
        <v>0.6</v>
      </c>
      <c r="O35" s="183">
        <f t="shared" si="4"/>
        <v>0</v>
      </c>
      <c r="P35" s="184">
        <f t="shared" si="5"/>
        <v>0.6</v>
      </c>
      <c r="Q35" s="184">
        <f t="shared" si="6"/>
        <v>0</v>
      </c>
      <c r="R3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31117.5</v>
      </c>
      <c r="T3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31117.5</v>
      </c>
      <c r="U35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35" s="187">
        <f t="shared" si="7"/>
        <v>0.6</v>
      </c>
      <c r="W35" s="187">
        <f t="shared" si="8"/>
        <v>0</v>
      </c>
      <c r="X35" s="187">
        <f t="shared" si="9"/>
        <v>0</v>
      </c>
      <c r="Y35" s="187">
        <f t="shared" si="10"/>
        <v>0</v>
      </c>
      <c r="Z35" s="187">
        <f t="shared" si="11"/>
        <v>0</v>
      </c>
      <c r="AA35" s="183">
        <f t="shared" si="12"/>
        <v>0</v>
      </c>
      <c r="AB35" s="187">
        <f t="shared" si="13"/>
        <v>0</v>
      </c>
      <c r="AC35" s="183">
        <f t="shared" si="14"/>
        <v>0</v>
      </c>
      <c r="AD35" s="188">
        <f t="shared" si="15"/>
        <v>2.4833333333299379</v>
      </c>
      <c r="AE35" s="188">
        <f t="shared" si="16"/>
        <v>2.4833333333299379</v>
      </c>
      <c r="AF35" s="188">
        <f t="shared" si="17"/>
        <v>0</v>
      </c>
      <c r="AG35" s="188">
        <f t="shared" si="18"/>
        <v>0</v>
      </c>
    </row>
    <row r="36" spans="2:33" ht="15" customHeight="1" x14ac:dyDescent="0.15">
      <c r="B36" s="174" t="s">
        <v>7</v>
      </c>
      <c r="C36" s="175" t="s">
        <v>15</v>
      </c>
      <c r="D36" s="176" t="str">
        <f t="shared" si="0"/>
        <v>C</v>
      </c>
      <c r="E36" s="177" t="d">
        <v>2021-10-19T12:45:00.000</v>
      </c>
      <c r="F36" s="178" t="s">
        <v>102</v>
      </c>
      <c r="G36" s="179">
        <v>157.44499999999999</v>
      </c>
      <c r="H36" s="179">
        <v>157.13200000000001</v>
      </c>
      <c r="I36" s="180">
        <f t="shared" si="1"/>
        <v>0.31299999999998818</v>
      </c>
      <c r="J36" s="179">
        <v>159.114</v>
      </c>
      <c r="K36" s="177" t="d">
        <v>2021-10-19T17:39:00.00000029336660775</v>
      </c>
      <c r="L36" s="179">
        <v>157.57499999999999</v>
      </c>
      <c r="M36" s="181">
        <f t="shared" si="2"/>
        <v>0.13</v>
      </c>
      <c r="N36" s="182">
        <f t="shared" si="3"/>
        <v>0.42</v>
      </c>
      <c r="O36" s="183">
        <f t="shared" si="4"/>
        <v>0</v>
      </c>
      <c r="P36" s="184">
        <f t="shared" si="5"/>
        <v>0.42</v>
      </c>
      <c r="Q36" s="184">
        <f t="shared" si="6"/>
        <v>0</v>
      </c>
      <c r="R3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30967.5</v>
      </c>
      <c r="T3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30967.5</v>
      </c>
      <c r="U36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36" s="187">
        <f t="shared" si="7"/>
        <v>0.42</v>
      </c>
      <c r="W36" s="187">
        <f t="shared" si="8"/>
        <v>0</v>
      </c>
      <c r="X36" s="187">
        <f t="shared" si="9"/>
        <v>0</v>
      </c>
      <c r="Y36" s="187">
        <f t="shared" si="10"/>
        <v>0</v>
      </c>
      <c r="Z36" s="187">
        <f t="shared" si="11"/>
        <v>0</v>
      </c>
      <c r="AA36" s="183">
        <f t="shared" si="12"/>
        <v>0</v>
      </c>
      <c r="AB36" s="187">
        <f t="shared" si="13"/>
        <v>0</v>
      </c>
      <c r="AC36" s="183">
        <f t="shared" si="14"/>
        <v>0</v>
      </c>
      <c r="AD36" s="188">
        <f t="shared" si="15"/>
        <v>0.20416666667006211</v>
      </c>
      <c r="AE36" s="188">
        <f t="shared" si="16"/>
        <v>0.20416666667006211</v>
      </c>
      <c r="AF36" s="188">
        <f t="shared" si="17"/>
        <v>0</v>
      </c>
      <c r="AG36" s="188">
        <f t="shared" si="18"/>
        <v>0</v>
      </c>
    </row>
    <row r="37" spans="2:33" ht="15" customHeight="1" x14ac:dyDescent="0.15">
      <c r="B37" s="174" t="s">
        <v>7</v>
      </c>
      <c r="C37" s="175" t="s">
        <v>15</v>
      </c>
      <c r="D37" s="176" t="str">
        <f t="shared" si="0"/>
        <v>C</v>
      </c>
      <c r="E37" s="177" t="d">
        <v>2021-10-14T03:30:00.00000020954757600</v>
      </c>
      <c r="F37" s="178" t="s">
        <v>102</v>
      </c>
      <c r="G37" s="179">
        <v>154.97399999999999</v>
      </c>
      <c r="H37" s="179">
        <v>154.67599999999999</v>
      </c>
      <c r="I37" s="180">
        <f t="shared" si="1"/>
        <v>0.29800000000000182</v>
      </c>
      <c r="J37" s="179">
        <v>156.565</v>
      </c>
      <c r="K37" s="177" t="d">
        <v>2021-10-15T10:24:00.00000008381903175</v>
      </c>
      <c r="L37" s="179">
        <v>156.565</v>
      </c>
      <c r="M37" s="181">
        <f t="shared" si="2"/>
        <v>1.591</v>
      </c>
      <c r="N37" s="182">
        <f t="shared" si="3"/>
        <v>5.34</v>
      </c>
      <c r="O37" s="183">
        <f t="shared" si="4"/>
        <v>0</v>
      </c>
      <c r="P37" s="184">
        <f t="shared" si="5"/>
        <v>5.34</v>
      </c>
      <c r="Q37" s="184">
        <f t="shared" si="6"/>
        <v>0</v>
      </c>
      <c r="R3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30862.5</v>
      </c>
      <c r="T3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30862.5</v>
      </c>
      <c r="U37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37" s="187">
        <f t="shared" si="7"/>
        <v>5.34</v>
      </c>
      <c r="W37" s="187">
        <f t="shared" si="8"/>
        <v>0</v>
      </c>
      <c r="X37" s="187">
        <f t="shared" si="9"/>
        <v>0</v>
      </c>
      <c r="Y37" s="187">
        <f t="shared" si="10"/>
        <v>0</v>
      </c>
      <c r="Z37" s="187">
        <f t="shared" si="11"/>
        <v>0</v>
      </c>
      <c r="AA37" s="183">
        <f t="shared" si="12"/>
        <v>0</v>
      </c>
      <c r="AB37" s="187">
        <f t="shared" si="13"/>
        <v>0</v>
      </c>
      <c r="AC37" s="183">
        <f t="shared" si="14"/>
        <v>0</v>
      </c>
      <c r="AD37" s="188">
        <f t="shared" si="15"/>
        <v>1.2874999999985448</v>
      </c>
      <c r="AE37" s="188">
        <f t="shared" si="16"/>
        <v>1.2874999999985448</v>
      </c>
      <c r="AF37" s="188">
        <f t="shared" si="17"/>
        <v>0</v>
      </c>
      <c r="AG37" s="188">
        <f t="shared" si="18"/>
        <v>0</v>
      </c>
    </row>
    <row r="38" spans="2:33" ht="15" customHeight="1" x14ac:dyDescent="0.15">
      <c r="B38" s="174" t="s">
        <v>7</v>
      </c>
      <c r="C38" s="175" t="s">
        <v>15</v>
      </c>
      <c r="D38" s="176" t="str">
        <f t="shared" si="0"/>
        <v>C</v>
      </c>
      <c r="E38" s="177" t="d">
        <v>2021-10-13T11:45:00.00000020954757600</v>
      </c>
      <c r="F38" s="178" t="s">
        <v>102</v>
      </c>
      <c r="G38" s="179">
        <v>154.88900000000001</v>
      </c>
      <c r="H38" s="179">
        <v>154.548</v>
      </c>
      <c r="I38" s="180">
        <f t="shared" si="1"/>
        <v>0.34100000000000819</v>
      </c>
      <c r="J38" s="179">
        <v>156.708</v>
      </c>
      <c r="K38" s="177" t="d">
        <v>2021-10-13T15:24:00.00000029336660775</v>
      </c>
      <c r="L38" s="179">
        <v>154.548</v>
      </c>
      <c r="M38" s="181">
        <f t="shared" si="2"/>
        <v>-0.34100000000000003</v>
      </c>
      <c r="N38" s="182">
        <f t="shared" si="3"/>
        <v>-1</v>
      </c>
      <c r="O38" s="183">
        <f t="shared" si="4"/>
        <v>0</v>
      </c>
      <c r="P38" s="184">
        <f t="shared" si="5"/>
        <v>0</v>
      </c>
      <c r="Q38" s="184">
        <f t="shared" si="6"/>
        <v>-1</v>
      </c>
      <c r="R3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29527.5</v>
      </c>
      <c r="T3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30022.5</v>
      </c>
      <c r="U38" s="186">
        <f ca="1">IF(Tabla33610673486[[#This Row],[Equity]]&lt;Tabla33610673486[[#This Row],[Equity Peak]],(Tabla33610673486[[#This Row],[Equity Peak]]-Tabla33610673486[[#This Row],[Equity]])/Tabla33610673486[[#This Row],[Equity Peak]],"")</f>
        <v>1.6487634274294279E-2</v>
      </c>
      <c r="V38" s="187">
        <f t="shared" si="7"/>
        <v>-1</v>
      </c>
      <c r="W38" s="187">
        <f t="shared" si="8"/>
        <v>0</v>
      </c>
      <c r="X38" s="187">
        <f t="shared" si="9"/>
        <v>0</v>
      </c>
      <c r="Y38" s="187">
        <f t="shared" si="10"/>
        <v>0</v>
      </c>
      <c r="Z38" s="187">
        <f t="shared" si="11"/>
        <v>0</v>
      </c>
      <c r="AA38" s="183">
        <f t="shared" si="12"/>
        <v>0</v>
      </c>
      <c r="AB38" s="187">
        <f t="shared" si="13"/>
        <v>0</v>
      </c>
      <c r="AC38" s="183">
        <f t="shared" si="14"/>
        <v>0</v>
      </c>
      <c r="AD38" s="188">
        <f t="shared" si="15"/>
        <v>0.15208333333430346</v>
      </c>
      <c r="AE38" s="188">
        <f t="shared" si="16"/>
        <v>0</v>
      </c>
      <c r="AF38" s="188">
        <f t="shared" si="17"/>
        <v>0.15208333333430346</v>
      </c>
      <c r="AG38" s="188">
        <f t="shared" si="18"/>
        <v>0</v>
      </c>
    </row>
    <row r="39" spans="2:33" ht="15" customHeight="1" x14ac:dyDescent="0.15">
      <c r="B39" s="174" t="s">
        <v>7</v>
      </c>
      <c r="C39" s="175" t="s">
        <v>15</v>
      </c>
      <c r="D39" s="176" t="str">
        <f t="shared" si="0"/>
        <v>C</v>
      </c>
      <c r="E39" s="177" t="d">
        <v>2021-10-12T15:14:59.99999979045242400</v>
      </c>
      <c r="F39" s="178" t="s">
        <v>102</v>
      </c>
      <c r="G39" s="179">
        <v>154.631</v>
      </c>
      <c r="H39" s="179">
        <v>154.25800000000001</v>
      </c>
      <c r="I39" s="180">
        <f t="shared" si="1"/>
        <v>0.37299999999999045</v>
      </c>
      <c r="J39" s="179">
        <v>156.62</v>
      </c>
      <c r="K39" s="177" t="d">
        <v>2021-10-12T17:06:00.00000012572854425</v>
      </c>
      <c r="L39" s="179">
        <v>154.26499999999999</v>
      </c>
      <c r="M39" s="181">
        <f t="shared" si="2"/>
        <v>-0.36599999999999999</v>
      </c>
      <c r="N39" s="182">
        <f t="shared" si="3"/>
        <v>-0.98</v>
      </c>
      <c r="O39" s="183">
        <f t="shared" si="4"/>
        <v>0</v>
      </c>
      <c r="P39" s="184">
        <f t="shared" si="5"/>
        <v>0</v>
      </c>
      <c r="Q39" s="184">
        <f t="shared" si="6"/>
        <v>-0.98</v>
      </c>
      <c r="R3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29777.5</v>
      </c>
      <c r="T3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30022.5</v>
      </c>
      <c r="U39" s="186">
        <f ca="1">IF(Tabla33610673486[[#This Row],[Equity]]&lt;Tabla33610673486[[#This Row],[Equity Peak]],(Tabla33610673486[[#This Row],[Equity Peak]]-Tabla33610673486[[#This Row],[Equity]])/Tabla33610673486[[#This Row],[Equity Peak]],"")</f>
        <v>8.1605462569739363E-3</v>
      </c>
      <c r="V39" s="187">
        <f t="shared" si="7"/>
        <v>-0.98</v>
      </c>
      <c r="W39" s="187">
        <f t="shared" si="8"/>
        <v>0</v>
      </c>
      <c r="X39" s="187">
        <f t="shared" si="9"/>
        <v>0</v>
      </c>
      <c r="Y39" s="187">
        <f t="shared" si="10"/>
        <v>0</v>
      </c>
      <c r="Z39" s="187">
        <f t="shared" si="11"/>
        <v>0</v>
      </c>
      <c r="AA39" s="183">
        <f t="shared" si="12"/>
        <v>0</v>
      </c>
      <c r="AB39" s="187">
        <f t="shared" si="13"/>
        <v>0</v>
      </c>
      <c r="AC39" s="183">
        <f t="shared" si="14"/>
        <v>0</v>
      </c>
      <c r="AD39" s="188">
        <f t="shared" si="15"/>
        <v>7.7083333337213844E-2</v>
      </c>
      <c r="AE39" s="188">
        <f t="shared" si="16"/>
        <v>0</v>
      </c>
      <c r="AF39" s="188">
        <f t="shared" si="17"/>
        <v>7.7083333337213844E-2</v>
      </c>
      <c r="AG39" s="188">
        <f t="shared" si="18"/>
        <v>0</v>
      </c>
    </row>
    <row r="40" spans="2:33" ht="15" customHeight="1" x14ac:dyDescent="0.15">
      <c r="B40" s="174" t="s">
        <v>7</v>
      </c>
      <c r="C40" s="175" t="s">
        <v>15</v>
      </c>
      <c r="D40" s="176" t="str">
        <f t="shared" si="0"/>
        <v>C</v>
      </c>
      <c r="E40" s="177" t="d">
        <v>2021-10-08T17:15:00.000</v>
      </c>
      <c r="F40" s="178" t="s">
        <v>102</v>
      </c>
      <c r="G40" s="179">
        <v>152.69200000000001</v>
      </c>
      <c r="H40" s="179">
        <v>152.38499999999999</v>
      </c>
      <c r="I40" s="180">
        <f t="shared" si="1"/>
        <v>0.30700000000001637</v>
      </c>
      <c r="J40" s="179">
        <v>154.327</v>
      </c>
      <c r="K40" s="177" t="d">
        <v>2021-10-11T15:39:00.00000008381903175</v>
      </c>
      <c r="L40" s="179">
        <v>154.327</v>
      </c>
      <c r="M40" s="181">
        <f t="shared" si="2"/>
        <v>1.635</v>
      </c>
      <c r="N40" s="182">
        <f t="shared" si="3"/>
        <v>5.33</v>
      </c>
      <c r="O40" s="183">
        <f t="shared" si="4"/>
        <v>0</v>
      </c>
      <c r="P40" s="184">
        <f t="shared" si="5"/>
        <v>5.33</v>
      </c>
      <c r="Q40" s="184">
        <f t="shared" si="6"/>
        <v>0</v>
      </c>
      <c r="R4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30022.5</v>
      </c>
      <c r="T4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30022.5</v>
      </c>
      <c r="U40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40" s="187">
        <f t="shared" si="7"/>
        <v>5.33</v>
      </c>
      <c r="W40" s="187">
        <f t="shared" si="8"/>
        <v>0</v>
      </c>
      <c r="X40" s="187">
        <f t="shared" si="9"/>
        <v>0</v>
      </c>
      <c r="Y40" s="187">
        <f t="shared" si="10"/>
        <v>0</v>
      </c>
      <c r="Z40" s="187">
        <f t="shared" si="11"/>
        <v>0</v>
      </c>
      <c r="AA40" s="183">
        <f t="shared" si="12"/>
        <v>0</v>
      </c>
      <c r="AB40" s="187">
        <f t="shared" si="13"/>
        <v>0</v>
      </c>
      <c r="AC40" s="183">
        <f t="shared" si="14"/>
        <v>0</v>
      </c>
      <c r="AD40" s="188">
        <f t="shared" si="15"/>
        <v>2.9333333333343035</v>
      </c>
      <c r="AE40" s="188">
        <f t="shared" si="16"/>
        <v>2.9333333333343035</v>
      </c>
      <c r="AF40" s="188">
        <f t="shared" si="17"/>
        <v>0</v>
      </c>
      <c r="AG40" s="188">
        <f t="shared" si="18"/>
        <v>0</v>
      </c>
    </row>
    <row r="41" spans="2:33" ht="15" customHeight="1" x14ac:dyDescent="0.15">
      <c r="B41" s="174" t="s">
        <v>7</v>
      </c>
      <c r="C41" s="175" t="s">
        <v>15</v>
      </c>
      <c r="D41" s="176" t="str">
        <f t="shared" si="0"/>
        <v>C</v>
      </c>
      <c r="E41" s="177" t="d">
        <v>2021-10-08T04:15:00.00000020954757600</v>
      </c>
      <c r="F41" s="178" t="s">
        <v>102</v>
      </c>
      <c r="G41" s="179">
        <v>152.24199999999999</v>
      </c>
      <c r="H41" s="179">
        <v>151.97200000000001</v>
      </c>
      <c r="I41" s="180">
        <f t="shared" si="1"/>
        <v>0.26999999999998181</v>
      </c>
      <c r="J41" s="179">
        <v>153.68</v>
      </c>
      <c r="K41" s="177" t="d">
        <v>2021-10-08T16:09:00.00000029336660775</v>
      </c>
      <c r="L41" s="179">
        <v>152.13499999999999</v>
      </c>
      <c r="M41" s="181">
        <f t="shared" si="2"/>
        <v>-0.107</v>
      </c>
      <c r="N41" s="182">
        <f t="shared" si="3"/>
        <v>-0.4</v>
      </c>
      <c r="O41" s="183">
        <f t="shared" si="4"/>
        <v>0</v>
      </c>
      <c r="P41" s="184">
        <f t="shared" si="5"/>
        <v>0</v>
      </c>
      <c r="Q41" s="184">
        <f t="shared" si="6"/>
        <v>-0.4</v>
      </c>
      <c r="R4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28690</v>
      </c>
      <c r="T4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29292.5</v>
      </c>
      <c r="U41" s="186">
        <f ca="1">IF(Tabla33610673486[[#This Row],[Equity]]&lt;Tabla33610673486[[#This Row],[Equity Peak]],(Tabla33610673486[[#This Row],[Equity Peak]]-Tabla33610673486[[#This Row],[Equity]])/Tabla33610673486[[#This Row],[Equity Peak]],"")</f>
        <v>2.056840488179568E-2</v>
      </c>
      <c r="V41" s="187">
        <f t="shared" si="7"/>
        <v>-0.4</v>
      </c>
      <c r="W41" s="187">
        <f t="shared" si="8"/>
        <v>0</v>
      </c>
      <c r="X41" s="187">
        <f t="shared" si="9"/>
        <v>0</v>
      </c>
      <c r="Y41" s="187">
        <f t="shared" si="10"/>
        <v>0</v>
      </c>
      <c r="Z41" s="187">
        <f t="shared" si="11"/>
        <v>0</v>
      </c>
      <c r="AA41" s="183">
        <f t="shared" si="12"/>
        <v>0</v>
      </c>
      <c r="AB41" s="187">
        <f t="shared" si="13"/>
        <v>0</v>
      </c>
      <c r="AC41" s="183">
        <f t="shared" si="14"/>
        <v>0</v>
      </c>
      <c r="AD41" s="188">
        <f t="shared" si="15"/>
        <v>0.49583333333430346</v>
      </c>
      <c r="AE41" s="188">
        <f t="shared" si="16"/>
        <v>0</v>
      </c>
      <c r="AF41" s="188">
        <f t="shared" si="17"/>
        <v>0.49583333333430346</v>
      </c>
      <c r="AG41" s="188">
        <f t="shared" si="18"/>
        <v>0</v>
      </c>
    </row>
    <row r="42" spans="2:33" ht="15" customHeight="1" x14ac:dyDescent="0.15">
      <c r="B42" s="174" t="s">
        <v>7</v>
      </c>
      <c r="C42" s="175" t="s">
        <v>15</v>
      </c>
      <c r="D42" s="176" t="str">
        <f t="shared" si="0"/>
        <v>C</v>
      </c>
      <c r="E42" s="177" t="d">
        <v>2021-10-05T14:15:00.000</v>
      </c>
      <c r="F42" s="178" t="s">
        <v>102</v>
      </c>
      <c r="G42" s="179">
        <v>151.64699999999999</v>
      </c>
      <c r="H42" s="179">
        <v>151.273</v>
      </c>
      <c r="I42" s="180">
        <f t="shared" si="1"/>
        <v>0.37399999999999523</v>
      </c>
      <c r="J42" s="179">
        <v>153.64400000000001</v>
      </c>
      <c r="K42" s="177" t="d">
        <v>2021-10-06T10:21:00.00000012572854425</v>
      </c>
      <c r="L42" s="179">
        <v>151.708</v>
      </c>
      <c r="M42" s="181">
        <f t="shared" si="2"/>
        <v>6.0999999999999999E-2</v>
      </c>
      <c r="N42" s="182">
        <f t="shared" si="3"/>
        <v>0.16</v>
      </c>
      <c r="O42" s="183">
        <f t="shared" si="4"/>
        <v>0</v>
      </c>
      <c r="P42" s="184">
        <f t="shared" si="5"/>
        <v>0.16</v>
      </c>
      <c r="Q42" s="184">
        <f t="shared" si="6"/>
        <v>0</v>
      </c>
      <c r="R4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28790</v>
      </c>
      <c r="T4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29292.5</v>
      </c>
      <c r="U42" s="186">
        <f ca="1">IF(Tabla33610673486[[#This Row],[Equity]]&lt;Tabla33610673486[[#This Row],[Equity Peak]],(Tabla33610673486[[#This Row],[Equity Peak]]-Tabla33610673486[[#This Row],[Equity]])/Tabla33610673486[[#This Row],[Equity Peak]],"")</f>
        <v>1.7154561747887685E-2</v>
      </c>
      <c r="V42" s="187">
        <f t="shared" si="7"/>
        <v>0.16</v>
      </c>
      <c r="W42" s="187">
        <f t="shared" si="8"/>
        <v>0</v>
      </c>
      <c r="X42" s="187">
        <f t="shared" si="9"/>
        <v>0</v>
      </c>
      <c r="Y42" s="187">
        <f t="shared" si="10"/>
        <v>0</v>
      </c>
      <c r="Z42" s="187">
        <f t="shared" si="11"/>
        <v>0</v>
      </c>
      <c r="AA42" s="183">
        <f t="shared" si="12"/>
        <v>0</v>
      </c>
      <c r="AB42" s="187">
        <f t="shared" si="13"/>
        <v>0</v>
      </c>
      <c r="AC42" s="183">
        <f t="shared" si="14"/>
        <v>0</v>
      </c>
      <c r="AD42" s="188">
        <f t="shared" si="15"/>
        <v>0.83750000000145519</v>
      </c>
      <c r="AE42" s="188">
        <f t="shared" si="16"/>
        <v>0.83750000000145519</v>
      </c>
      <c r="AF42" s="188">
        <f t="shared" si="17"/>
        <v>0</v>
      </c>
      <c r="AG42" s="188">
        <f t="shared" si="18"/>
        <v>0</v>
      </c>
    </row>
    <row r="43" spans="2:33" ht="15" customHeight="1" x14ac:dyDescent="0.15">
      <c r="B43" s="174" t="s">
        <v>7</v>
      </c>
      <c r="C43" s="175" t="s">
        <v>15</v>
      </c>
      <c r="D43" s="176" t="str">
        <f t="shared" si="0"/>
        <v>C</v>
      </c>
      <c r="E43" s="177" t="d">
        <v>2021-10-04T12:59:59.99999979045242400</v>
      </c>
      <c r="F43" s="178" t="s">
        <v>102</v>
      </c>
      <c r="G43" s="179">
        <v>151.13900000000001</v>
      </c>
      <c r="H43" s="179">
        <v>150.72399999999999</v>
      </c>
      <c r="I43" s="180">
        <f t="shared" si="1"/>
        <v>0.41500000000002046</v>
      </c>
      <c r="J43" s="179">
        <v>153.35</v>
      </c>
      <c r="K43" s="177" t="d">
        <v>2021-10-04T17:51:59.99999969266355025</v>
      </c>
      <c r="L43" s="179">
        <v>150.96899999999999</v>
      </c>
      <c r="M43" s="181">
        <f t="shared" si="2"/>
        <v>-0.17</v>
      </c>
      <c r="N43" s="182">
        <f t="shared" si="3"/>
        <v>-0.41</v>
      </c>
      <c r="O43" s="183">
        <f t="shared" si="4"/>
        <v>0</v>
      </c>
      <c r="P43" s="184">
        <f t="shared" si="5"/>
        <v>0</v>
      </c>
      <c r="Q43" s="184">
        <f t="shared" si="6"/>
        <v>-0.41</v>
      </c>
      <c r="R4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28750</v>
      </c>
      <c r="T4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29292.5</v>
      </c>
      <c r="U43" s="186">
        <f ca="1">IF(Tabla33610673486[[#This Row],[Equity]]&lt;Tabla33610673486[[#This Row],[Equity Peak]],(Tabla33610673486[[#This Row],[Equity Peak]]-Tabla33610673486[[#This Row],[Equity]])/Tabla33610673486[[#This Row],[Equity Peak]],"")</f>
        <v>1.8520099001450883E-2</v>
      </c>
      <c r="V43" s="187">
        <f t="shared" si="7"/>
        <v>-0.41</v>
      </c>
      <c r="W43" s="187">
        <f t="shared" si="8"/>
        <v>0</v>
      </c>
      <c r="X43" s="187">
        <f t="shared" si="9"/>
        <v>0</v>
      </c>
      <c r="Y43" s="187">
        <f t="shared" si="10"/>
        <v>0</v>
      </c>
      <c r="Z43" s="187">
        <f t="shared" si="11"/>
        <v>0</v>
      </c>
      <c r="AA43" s="183">
        <f t="shared" si="12"/>
        <v>0</v>
      </c>
      <c r="AB43" s="187">
        <f t="shared" si="13"/>
        <v>0</v>
      </c>
      <c r="AC43" s="183">
        <f t="shared" si="14"/>
        <v>0</v>
      </c>
      <c r="AD43" s="188">
        <f t="shared" si="15"/>
        <v>0.20277777777664596</v>
      </c>
      <c r="AE43" s="188">
        <f t="shared" si="16"/>
        <v>0</v>
      </c>
      <c r="AF43" s="188">
        <f t="shared" si="17"/>
        <v>0.20277777777664596</v>
      </c>
      <c r="AG43" s="188">
        <f t="shared" si="18"/>
        <v>0</v>
      </c>
    </row>
    <row r="44" spans="2:33" ht="15" customHeight="1" x14ac:dyDescent="0.15">
      <c r="B44" s="174" t="s">
        <v>7</v>
      </c>
      <c r="C44" s="175" t="s">
        <v>13</v>
      </c>
      <c r="D44" s="176" t="str">
        <f t="shared" si="0"/>
        <v>C</v>
      </c>
      <c r="E44" s="177" t="d">
        <v>2021-10-01T04:15:00.00000020954757600</v>
      </c>
      <c r="F44" s="178" t="s">
        <v>102</v>
      </c>
      <c r="G44" s="179">
        <v>149.61699999999999</v>
      </c>
      <c r="H44" s="179">
        <v>149.96899999999999</v>
      </c>
      <c r="I44" s="180">
        <f t="shared" si="1"/>
        <v>0.35200000000000387</v>
      </c>
      <c r="J44" s="179">
        <v>147.73699999999999</v>
      </c>
      <c r="K44" s="177" t="d">
        <v>2021-10-01T10:54:00.00000029336660775</v>
      </c>
      <c r="L44" s="179">
        <v>149.88499999999999</v>
      </c>
      <c r="M44" s="181">
        <f t="shared" si="2"/>
        <v>-0.26800000000000002</v>
      </c>
      <c r="N44" s="182">
        <f t="shared" si="3"/>
        <v>-0.76</v>
      </c>
      <c r="O44" s="183">
        <f t="shared" si="4"/>
        <v>0</v>
      </c>
      <c r="P44" s="184">
        <f t="shared" si="5"/>
        <v>0</v>
      </c>
      <c r="Q44" s="184">
        <f t="shared" si="6"/>
        <v>-0.76</v>
      </c>
      <c r="R4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28852.5</v>
      </c>
      <c r="T4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29292.5</v>
      </c>
      <c r="U44" s="186">
        <f ca="1">IF(Tabla33610673486[[#This Row],[Equity]]&lt;Tabla33610673486[[#This Row],[Equity Peak]],(Tabla33610673486[[#This Row],[Equity Peak]]-Tabla33610673486[[#This Row],[Equity]])/Tabla33610673486[[#This Row],[Equity Peak]],"")</f>
        <v>1.5020909789195187E-2</v>
      </c>
      <c r="V44" s="187">
        <f t="shared" si="7"/>
        <v>-0.76</v>
      </c>
      <c r="W44" s="187">
        <f t="shared" si="8"/>
        <v>0</v>
      </c>
      <c r="X44" s="187">
        <f t="shared" si="9"/>
        <v>0</v>
      </c>
      <c r="Y44" s="187">
        <f t="shared" si="10"/>
        <v>0</v>
      </c>
      <c r="Z44" s="187">
        <f t="shared" si="11"/>
        <v>0</v>
      </c>
      <c r="AA44" s="183">
        <f t="shared" si="12"/>
        <v>0</v>
      </c>
      <c r="AB44" s="187">
        <f t="shared" si="13"/>
        <v>0</v>
      </c>
      <c r="AC44" s="183">
        <f t="shared" si="14"/>
        <v>0</v>
      </c>
      <c r="AD44" s="188">
        <f t="shared" si="15"/>
        <v>0.27708333333430346</v>
      </c>
      <c r="AE44" s="188">
        <f t="shared" si="16"/>
        <v>0</v>
      </c>
      <c r="AF44" s="188">
        <f t="shared" si="17"/>
        <v>0.27708333333430346</v>
      </c>
      <c r="AG44" s="188">
        <f t="shared" si="18"/>
        <v>0</v>
      </c>
    </row>
    <row r="45" spans="2:33" ht="15" customHeight="1" x14ac:dyDescent="0.15">
      <c r="B45" s="174" t="s">
        <v>7</v>
      </c>
      <c r="C45" s="175" t="s">
        <v>13</v>
      </c>
      <c r="D45" s="176" t="str">
        <f t="shared" si="0"/>
        <v>C</v>
      </c>
      <c r="E45" s="177" t="d">
        <v>2021-09-30T20:45:00.00000020954757600</v>
      </c>
      <c r="F45" s="178" t="s">
        <v>102</v>
      </c>
      <c r="G45" s="179">
        <v>149.828</v>
      </c>
      <c r="H45" s="179">
        <v>150.215</v>
      </c>
      <c r="I45" s="180">
        <f t="shared" si="1"/>
        <v>0.38700000000000045</v>
      </c>
      <c r="J45" s="179">
        <v>147.767</v>
      </c>
      <c r="K45" s="177" t="d">
        <v>2021-09-30T21:36:59.99999969266355025</v>
      </c>
      <c r="L45" s="179">
        <v>150.215</v>
      </c>
      <c r="M45" s="181">
        <f t="shared" si="2"/>
        <v>-0.38700000000000001</v>
      </c>
      <c r="N45" s="182">
        <f t="shared" si="3"/>
        <v>-1</v>
      </c>
      <c r="O45" s="183">
        <f t="shared" si="4"/>
        <v>0</v>
      </c>
      <c r="P45" s="184">
        <f t="shared" si="5"/>
        <v>0</v>
      </c>
      <c r="Q45" s="184">
        <f t="shared" si="6"/>
        <v>-1</v>
      </c>
      <c r="R4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29042.5</v>
      </c>
      <c r="T4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29292.5</v>
      </c>
      <c r="U45" s="186">
        <f ca="1">IF(Tabla33610673486[[#This Row],[Equity]]&lt;Tabla33610673486[[#This Row],[Equity Peak]],(Tabla33610673486[[#This Row],[Equity Peak]]-Tabla33610673486[[#This Row],[Equity]])/Tabla33610673486[[#This Row],[Equity Peak]],"")</f>
        <v>8.5346078347699923E-3</v>
      </c>
      <c r="V45" s="187">
        <f t="shared" si="7"/>
        <v>-1</v>
      </c>
      <c r="W45" s="187">
        <f t="shared" si="8"/>
        <v>0</v>
      </c>
      <c r="X45" s="187">
        <f t="shared" si="9"/>
        <v>0</v>
      </c>
      <c r="Y45" s="187">
        <f t="shared" si="10"/>
        <v>0</v>
      </c>
      <c r="Z45" s="187">
        <f t="shared" si="11"/>
        <v>0</v>
      </c>
      <c r="AA45" s="183">
        <f t="shared" si="12"/>
        <v>0</v>
      </c>
      <c r="AB45" s="187">
        <f t="shared" si="13"/>
        <v>0</v>
      </c>
      <c r="AC45" s="183">
        <f t="shared" si="14"/>
        <v>0</v>
      </c>
      <c r="AD45" s="188">
        <f t="shared" si="15"/>
        <v>3.6111111105128657E-2</v>
      </c>
      <c r="AE45" s="188">
        <f t="shared" si="16"/>
        <v>0</v>
      </c>
      <c r="AF45" s="188">
        <f t="shared" si="17"/>
        <v>3.6111111105128657E-2</v>
      </c>
      <c r="AG45" s="188">
        <f t="shared" si="18"/>
        <v>0</v>
      </c>
    </row>
    <row r="46" spans="2:33" ht="15" customHeight="1" x14ac:dyDescent="0.15">
      <c r="B46" s="174" t="s">
        <v>7</v>
      </c>
      <c r="C46" s="175" t="s">
        <v>13</v>
      </c>
      <c r="D46" s="176" t="str">
        <f t="shared" si="0"/>
        <v>C</v>
      </c>
      <c r="E46" s="177" t="d">
        <v>2021-09-29T10:15:00.00000020954757600</v>
      </c>
      <c r="F46" s="178" t="s">
        <v>102</v>
      </c>
      <c r="G46" s="179">
        <v>150.517</v>
      </c>
      <c r="H46" s="179">
        <v>150.88999999999999</v>
      </c>
      <c r="I46" s="180">
        <f t="shared" si="1"/>
        <v>0.37299999999999045</v>
      </c>
      <c r="J46" s="179">
        <v>148.53</v>
      </c>
      <c r="K46" s="177" t="d">
        <v>2021-09-29T21:36:59.99999969266355025</v>
      </c>
      <c r="L46" s="179">
        <v>150.51599999999999</v>
      </c>
      <c r="M46" s="181">
        <f t="shared" si="2"/>
        <v>1E-3</v>
      </c>
      <c r="N46" s="182">
        <f t="shared" si="3"/>
        <v>0</v>
      </c>
      <c r="O46" s="183">
        <f t="shared" si="4"/>
        <v>0</v>
      </c>
      <c r="P46" s="184">
        <f t="shared" si="5"/>
        <v>0</v>
      </c>
      <c r="Q46" s="184">
        <f t="shared" si="6"/>
        <v>0</v>
      </c>
      <c r="R4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29292.5</v>
      </c>
      <c r="T4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29292.5</v>
      </c>
      <c r="U46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46" s="187">
        <f t="shared" si="7"/>
        <v>0</v>
      </c>
      <c r="W46" s="187">
        <f t="shared" si="8"/>
        <v>0</v>
      </c>
      <c r="X46" s="187">
        <f t="shared" si="9"/>
        <v>0</v>
      </c>
      <c r="Y46" s="187">
        <f t="shared" si="10"/>
        <v>0</v>
      </c>
      <c r="Z46" s="187">
        <f t="shared" si="11"/>
        <v>0</v>
      </c>
      <c r="AA46" s="183">
        <f t="shared" si="12"/>
        <v>0</v>
      </c>
      <c r="AB46" s="187">
        <f t="shared" si="13"/>
        <v>0</v>
      </c>
      <c r="AC46" s="183">
        <f t="shared" si="14"/>
        <v>0</v>
      </c>
      <c r="AD46" s="188">
        <f t="shared" si="15"/>
        <v>0.47361111110512866</v>
      </c>
      <c r="AE46" s="188">
        <f t="shared" si="16"/>
        <v>0</v>
      </c>
      <c r="AF46" s="188">
        <f t="shared" si="17"/>
        <v>0</v>
      </c>
      <c r="AG46" s="188">
        <f t="shared" si="18"/>
        <v>0.47361111110512866</v>
      </c>
    </row>
    <row r="47" spans="2:33" ht="15" customHeight="1" x14ac:dyDescent="0.15">
      <c r="B47" s="174" t="s">
        <v>7</v>
      </c>
      <c r="C47" s="175" t="s">
        <v>15</v>
      </c>
      <c r="D47" s="176" t="str">
        <f t="shared" si="0"/>
        <v>C</v>
      </c>
      <c r="E47" s="177" t="d">
        <v>2021-09-27T11:29:59.99999979045242400</v>
      </c>
      <c r="F47" s="178" t="s">
        <v>102</v>
      </c>
      <c r="G47" s="179">
        <v>151.833</v>
      </c>
      <c r="H47" s="179">
        <v>151.524</v>
      </c>
      <c r="I47" s="180">
        <f t="shared" si="1"/>
        <v>0.3089999999999975</v>
      </c>
      <c r="J47" s="179">
        <v>153.482</v>
      </c>
      <c r="K47" s="177" t="d">
        <v>2021-09-28T10:37:00.00000011175870900</v>
      </c>
      <c r="L47" s="179">
        <v>152.13999999999999</v>
      </c>
      <c r="M47" s="181">
        <f t="shared" si="2"/>
        <v>0.307</v>
      </c>
      <c r="N47" s="182">
        <f t="shared" si="3"/>
        <v>0.99</v>
      </c>
      <c r="O47" s="183">
        <f t="shared" si="4"/>
        <v>0</v>
      </c>
      <c r="P47" s="184">
        <f t="shared" si="5"/>
        <v>0.99</v>
      </c>
      <c r="Q47" s="184">
        <f t="shared" si="6"/>
        <v>0</v>
      </c>
      <c r="R4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29292.5</v>
      </c>
      <c r="T4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29292.5</v>
      </c>
      <c r="U47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47" s="187">
        <f t="shared" si="7"/>
        <v>0.99</v>
      </c>
      <c r="W47" s="187">
        <f t="shared" si="8"/>
        <v>0</v>
      </c>
      <c r="X47" s="187">
        <f t="shared" si="9"/>
        <v>0</v>
      </c>
      <c r="Y47" s="187">
        <f t="shared" si="10"/>
        <v>0</v>
      </c>
      <c r="Z47" s="187">
        <f t="shared" si="11"/>
        <v>0</v>
      </c>
      <c r="AA47" s="183">
        <f t="shared" si="12"/>
        <v>0</v>
      </c>
      <c r="AB47" s="187">
        <f t="shared" si="13"/>
        <v>0</v>
      </c>
      <c r="AC47" s="183">
        <f t="shared" si="14"/>
        <v>0</v>
      </c>
      <c r="AD47" s="188">
        <f t="shared" si="15"/>
        <v>0.96319444444816327</v>
      </c>
      <c r="AE47" s="188">
        <f t="shared" si="16"/>
        <v>0.96319444444816327</v>
      </c>
      <c r="AF47" s="188">
        <f t="shared" si="17"/>
        <v>0</v>
      </c>
      <c r="AG47" s="188">
        <f t="shared" si="18"/>
        <v>0</v>
      </c>
    </row>
    <row r="48" spans="2:33" ht="15" customHeight="1" x14ac:dyDescent="0.15">
      <c r="B48" s="174" t="s">
        <v>7</v>
      </c>
      <c r="C48" s="175" t="s">
        <v>15</v>
      </c>
      <c r="D48" s="176" t="str">
        <f t="shared" si="0"/>
        <v>C</v>
      </c>
      <c r="E48" s="177" t="d">
        <v>2021-09-23T14:15:00.000</v>
      </c>
      <c r="F48" s="178" t="s">
        <v>102</v>
      </c>
      <c r="G48" s="179">
        <v>150.53899999999999</v>
      </c>
      <c r="H48" s="179">
        <v>150.19900000000001</v>
      </c>
      <c r="I48" s="180">
        <f t="shared" si="1"/>
        <v>0.33999999999997499</v>
      </c>
      <c r="J48" s="179">
        <v>152.352</v>
      </c>
      <c r="K48" s="177" t="d">
        <v>2021-09-24T11:12:00.0000000419095125</v>
      </c>
      <c r="L48" s="179">
        <v>151.286</v>
      </c>
      <c r="M48" s="181">
        <f t="shared" si="2"/>
        <v>0.747</v>
      </c>
      <c r="N48" s="182">
        <f t="shared" si="3"/>
        <v>2.2000000000000002</v>
      </c>
      <c r="O48" s="183">
        <f t="shared" si="4"/>
        <v>0</v>
      </c>
      <c r="P48" s="184">
        <f t="shared" si="5"/>
        <v>2.2000000000000002</v>
      </c>
      <c r="Q48" s="184">
        <f t="shared" si="6"/>
        <v>0</v>
      </c>
      <c r="R4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29045</v>
      </c>
      <c r="T4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48" s="186">
        <f ca="1">IF(Tabla33610673486[[#This Row],[Equity]]&lt;Tabla33610673486[[#This Row],[Equity Peak]],(Tabla33610673486[[#This Row],[Equity Peak]]-Tabla33610673486[[#This Row],[Equity]])/Tabla33610673486[[#This Row],[Equity Peak]],"")</f>
        <v>5.1617343427391607E-4</v>
      </c>
      <c r="V48" s="187">
        <f t="shared" si="7"/>
        <v>2.2000000000000002</v>
      </c>
      <c r="W48" s="187">
        <f t="shared" si="8"/>
        <v>0</v>
      </c>
      <c r="X48" s="187">
        <f t="shared" si="9"/>
        <v>0</v>
      </c>
      <c r="Y48" s="187">
        <f t="shared" si="10"/>
        <v>0</v>
      </c>
      <c r="Z48" s="187">
        <f t="shared" si="11"/>
        <v>0</v>
      </c>
      <c r="AA48" s="183">
        <f t="shared" si="12"/>
        <v>0</v>
      </c>
      <c r="AB48" s="187">
        <f t="shared" si="13"/>
        <v>0</v>
      </c>
      <c r="AC48" s="183">
        <f t="shared" si="14"/>
        <v>0</v>
      </c>
      <c r="AD48" s="188">
        <f t="shared" si="15"/>
        <v>0.87291666666715173</v>
      </c>
      <c r="AE48" s="188">
        <f t="shared" si="16"/>
        <v>0.87291666666715173</v>
      </c>
      <c r="AF48" s="188">
        <f t="shared" si="17"/>
        <v>0</v>
      </c>
      <c r="AG48" s="188">
        <f t="shared" si="18"/>
        <v>0</v>
      </c>
    </row>
    <row r="49" spans="2:33" ht="15" customHeight="1" x14ac:dyDescent="0.15">
      <c r="B49" s="174" t="s">
        <v>7</v>
      </c>
      <c r="C49" s="175" t="s">
        <v>13</v>
      </c>
      <c r="D49" s="176" t="str">
        <f t="shared" ref="D49:D80" si="19">IF(E49&lt;&gt;"",IF(K49&lt;&gt;"","C","O"),"")</f>
        <v>C</v>
      </c>
      <c r="E49" s="177" t="d">
        <v>2021-09-21T18:00:00.000</v>
      </c>
      <c r="F49" s="178" t="s">
        <v>102</v>
      </c>
      <c r="G49" s="179">
        <v>149.00299999999999</v>
      </c>
      <c r="H49" s="179">
        <v>149.39699999999999</v>
      </c>
      <c r="I49" s="180">
        <f t="shared" ref="I49:I80" si="20">ABS(G49-H49)</f>
        <v>0.39400000000000546</v>
      </c>
      <c r="J49" s="179">
        <v>146.9</v>
      </c>
      <c r="K49" s="177" t="d">
        <v>2021-09-21T18:53:59.99999987427145575</v>
      </c>
      <c r="L49" s="179">
        <v>149.39699999999999</v>
      </c>
      <c r="M49" s="181">
        <f t="shared" ref="M49:M80" si="21">ROUND(IF(C49="L",(L49-G49),(G49-L49)),4)</f>
        <v>-0.39400000000000002</v>
      </c>
      <c r="N49" s="182">
        <f t="shared" ref="N49:N80" si="22">IFERROR(ROUND((M49/I49),2),"")</f>
        <v>-1</v>
      </c>
      <c r="O49" s="183">
        <f t="shared" ref="O49:O80" si="23">IF(D49="O",IF(N49&lt;0,N49,0),0)</f>
        <v>0</v>
      </c>
      <c r="P49" s="184">
        <f t="shared" ref="P49:P80" si="24">IF(N49&gt;= 0,N49,0)</f>
        <v>0</v>
      </c>
      <c r="Q49" s="184">
        <f t="shared" ref="Q49:Q80" si="25">IF(N49&lt;0,N49,0)</f>
        <v>-1</v>
      </c>
      <c r="R4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4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28495</v>
      </c>
      <c r="T4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49" s="186">
        <f ca="1">IF(Tabla33610673486[[#This Row],[Equity]]&lt;Tabla33610673486[[#This Row],[Equity Peak]],(Tabla33610673486[[#This Row],[Equity Peak]]-Tabla33610673486[[#This Row],[Equity]])/Tabla33610673486[[#This Row],[Equity Peak]],"")</f>
        <v>1.9442532690984171E-2</v>
      </c>
      <c r="V49" s="187">
        <f t="shared" ref="V49:V80" si="26">IF(B49="FX",N49,0)</f>
        <v>-1</v>
      </c>
      <c r="W49" s="187">
        <f t="shared" ref="W49:W80" si="27">IF(D49="O",IF(V49&lt;0,V49,0),0)</f>
        <v>0</v>
      </c>
      <c r="X49" s="187">
        <f t="shared" ref="X49:X80" si="28">IF(B49="COM",N49,0)</f>
        <v>0</v>
      </c>
      <c r="Y49" s="187">
        <f t="shared" ref="Y49:Y80" si="29">IF(D49="O",IF(X49&lt;0,X49,0),0)</f>
        <v>0</v>
      </c>
      <c r="Z49" s="187">
        <f t="shared" ref="Z49:Z80" si="30">IF(B49="IND",N49,0)</f>
        <v>0</v>
      </c>
      <c r="AA49" s="183">
        <f t="shared" ref="AA49:AA80" si="31">IF(D49="O",IF(Z49&lt;0,Z49,0),0)</f>
        <v>0</v>
      </c>
      <c r="AB49" s="187">
        <f t="shared" ref="AB49:AB80" si="32">IF(B49="CRYPTO",N49,0)</f>
        <v>0</v>
      </c>
      <c r="AC49" s="183">
        <f t="shared" ref="AC49:AC80" si="33">IF(D49="O",IF(AB49&lt;0,AB49,0),0)</f>
        <v>0</v>
      </c>
      <c r="AD49" s="188">
        <f t="shared" ref="AD49:AD80" si="34">IF(K49&lt;&gt;"",K49-E49,0)</f>
        <v>3.7499999998544808E-2</v>
      </c>
      <c r="AE49" s="188">
        <f t="shared" ref="AE49:AE80" si="35">IF(N49&gt;0,AD49,0)</f>
        <v>0</v>
      </c>
      <c r="AF49" s="188">
        <f t="shared" ref="AF49:AF80" si="36">IF(N49&lt;0,AD49,0)</f>
        <v>3.7499999998544808E-2</v>
      </c>
      <c r="AG49" s="188">
        <f t="shared" ref="AG49:AG80" si="37">IF(N49=0,AD49,0)</f>
        <v>0</v>
      </c>
    </row>
    <row r="50" spans="2:33" ht="15" customHeight="1" x14ac:dyDescent="0.15">
      <c r="B50" s="174" t="s">
        <v>7</v>
      </c>
      <c r="C50" s="175" t="s">
        <v>13</v>
      </c>
      <c r="D50" s="176" t="str">
        <f t="shared" si="19"/>
        <v>C</v>
      </c>
      <c r="E50" s="177" t="d">
        <v>2021-09-20T05:00:00.00000020954757600</v>
      </c>
      <c r="F50" s="178" t="s">
        <v>102</v>
      </c>
      <c r="G50" s="179">
        <v>150.72499999999999</v>
      </c>
      <c r="H50" s="179">
        <v>150.97900000000001</v>
      </c>
      <c r="I50" s="180">
        <f t="shared" si="20"/>
        <v>0.2540000000000191</v>
      </c>
      <c r="J50" s="179">
        <v>149.37</v>
      </c>
      <c r="K50" s="177" t="d">
        <v>2021-09-20T16:12:00.00000025145709525</v>
      </c>
      <c r="L50" s="179">
        <v>149.9</v>
      </c>
      <c r="M50" s="181">
        <f t="shared" si="21"/>
        <v>0.82499999999999996</v>
      </c>
      <c r="N50" s="182">
        <f t="shared" si="22"/>
        <v>3.25</v>
      </c>
      <c r="O50" s="183">
        <f t="shared" si="23"/>
        <v>0</v>
      </c>
      <c r="P50" s="184">
        <f t="shared" si="24"/>
        <v>3.25</v>
      </c>
      <c r="Q50" s="184">
        <f t="shared" si="25"/>
        <v>0</v>
      </c>
      <c r="R5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28745</v>
      </c>
      <c r="T5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50" s="186">
        <f ca="1">IF(Tabla33610673486[[#This Row],[Equity]]&lt;Tabla33610673486[[#This Row],[Equity Peak]],(Tabla33610673486[[#This Row],[Equity Peak]]-Tabla33610673486[[#This Row],[Equity]])/Tabla33610673486[[#This Row],[Equity Peak]],"")</f>
        <v>1.0839642119752236E-2</v>
      </c>
      <c r="V50" s="187">
        <f t="shared" si="26"/>
        <v>3.25</v>
      </c>
      <c r="W50" s="187">
        <f t="shared" si="27"/>
        <v>0</v>
      </c>
      <c r="X50" s="187">
        <f t="shared" si="28"/>
        <v>0</v>
      </c>
      <c r="Y50" s="187">
        <f t="shared" si="29"/>
        <v>0</v>
      </c>
      <c r="Z50" s="187">
        <f t="shared" si="30"/>
        <v>0</v>
      </c>
      <c r="AA50" s="183">
        <f t="shared" si="31"/>
        <v>0</v>
      </c>
      <c r="AB50" s="187">
        <f t="shared" si="32"/>
        <v>0</v>
      </c>
      <c r="AC50" s="183">
        <f t="shared" si="33"/>
        <v>0</v>
      </c>
      <c r="AD50" s="188">
        <f t="shared" si="34"/>
        <v>0.46666666666715173</v>
      </c>
      <c r="AE50" s="188">
        <f t="shared" si="35"/>
        <v>0.46666666666715173</v>
      </c>
      <c r="AF50" s="188">
        <f t="shared" si="36"/>
        <v>0</v>
      </c>
      <c r="AG50" s="188">
        <f t="shared" si="37"/>
        <v>0</v>
      </c>
    </row>
    <row r="51" spans="2:33" ht="15" customHeight="1" x14ac:dyDescent="0.15">
      <c r="B51" s="174" t="s">
        <v>7</v>
      </c>
      <c r="C51" s="175" t="s">
        <v>13</v>
      </c>
      <c r="D51" s="176" t="str">
        <f t="shared" si="19"/>
        <v>C</v>
      </c>
      <c r="E51" s="177" t="d">
        <v>2021-09-14T20:15:00.000</v>
      </c>
      <c r="F51" s="178" t="s">
        <v>102</v>
      </c>
      <c r="G51" s="179">
        <v>151.68799999999999</v>
      </c>
      <c r="H51" s="179">
        <v>151.94900000000001</v>
      </c>
      <c r="I51" s="180">
        <f t="shared" si="20"/>
        <v>0.2610000000000241</v>
      </c>
      <c r="J51" s="179">
        <v>150.29499999999999</v>
      </c>
      <c r="K51" s="177" t="d">
        <v>2021-09-15T10:09:00.00000029336660775</v>
      </c>
      <c r="L51" s="179">
        <v>151.542</v>
      </c>
      <c r="M51" s="181">
        <f t="shared" si="21"/>
        <v>0.14599999999999999</v>
      </c>
      <c r="N51" s="182">
        <f t="shared" si="22"/>
        <v>0.56000000000000005</v>
      </c>
      <c r="O51" s="183">
        <f t="shared" si="23"/>
        <v>0</v>
      </c>
      <c r="P51" s="184">
        <f t="shared" si="24"/>
        <v>0.56000000000000005</v>
      </c>
      <c r="Q51" s="184">
        <f t="shared" si="25"/>
        <v>0</v>
      </c>
      <c r="R5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27932.5</v>
      </c>
      <c r="T5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51" s="186">
        <f ca="1">IF(Tabla33610673486[[#This Row],[Equity]]&lt;Tabla33610673486[[#This Row],[Equity Peak]],(Tabla33610673486[[#This Row],[Equity Peak]]-Tabla33610673486[[#This Row],[Equity]])/Tabla33610673486[[#This Row],[Equity Peak]],"")</f>
        <v>3.8799036476256023E-2</v>
      </c>
      <c r="V51" s="187">
        <f t="shared" si="26"/>
        <v>0.56000000000000005</v>
      </c>
      <c r="W51" s="187">
        <f t="shared" si="27"/>
        <v>0</v>
      </c>
      <c r="X51" s="187">
        <f t="shared" si="28"/>
        <v>0</v>
      </c>
      <c r="Y51" s="187">
        <f t="shared" si="29"/>
        <v>0</v>
      </c>
      <c r="Z51" s="187">
        <f t="shared" si="30"/>
        <v>0</v>
      </c>
      <c r="AA51" s="183">
        <f t="shared" si="31"/>
        <v>0</v>
      </c>
      <c r="AB51" s="187">
        <f t="shared" si="32"/>
        <v>0</v>
      </c>
      <c r="AC51" s="183">
        <f t="shared" si="33"/>
        <v>0</v>
      </c>
      <c r="AD51" s="188">
        <f t="shared" si="34"/>
        <v>0.57916666667006211</v>
      </c>
      <c r="AE51" s="188">
        <f t="shared" si="35"/>
        <v>0.57916666667006211</v>
      </c>
      <c r="AF51" s="188">
        <f t="shared" si="36"/>
        <v>0</v>
      </c>
      <c r="AG51" s="188">
        <f t="shared" si="37"/>
        <v>0</v>
      </c>
    </row>
    <row r="52" spans="2:33" ht="15" customHeight="1" x14ac:dyDescent="0.15">
      <c r="B52" s="174" t="s">
        <v>7</v>
      </c>
      <c r="C52" s="175" t="s">
        <v>15</v>
      </c>
      <c r="D52" s="176" t="str">
        <f t="shared" si="19"/>
        <v>C</v>
      </c>
      <c r="E52" s="177" t="d">
        <v>2021-09-14T11:00:00.00000020954757600</v>
      </c>
      <c r="F52" s="178" t="s">
        <v>102</v>
      </c>
      <c r="G52" s="179">
        <v>152.65899999999999</v>
      </c>
      <c r="H52" s="179">
        <v>152.434</v>
      </c>
      <c r="I52" s="180">
        <f t="shared" si="20"/>
        <v>0.22499999999999432</v>
      </c>
      <c r="J52" s="179">
        <v>153.85900000000001</v>
      </c>
      <c r="K52" s="177" t="d">
        <v>2021-09-14T16:54:00.00000029336660775</v>
      </c>
      <c r="L52" s="179">
        <v>152.47</v>
      </c>
      <c r="M52" s="181">
        <f t="shared" si="21"/>
        <v>-0.189</v>
      </c>
      <c r="N52" s="182">
        <f t="shared" si="22"/>
        <v>-0.84</v>
      </c>
      <c r="O52" s="183">
        <f t="shared" si="23"/>
        <v>0</v>
      </c>
      <c r="P52" s="184">
        <f t="shared" si="24"/>
        <v>0</v>
      </c>
      <c r="Q52" s="184">
        <f t="shared" si="25"/>
        <v>-0.84</v>
      </c>
      <c r="R5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27792.5</v>
      </c>
      <c r="T5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52" s="186">
        <f ca="1">IF(Tabla33610673486[[#This Row],[Equity]]&lt;Tabla33610673486[[#This Row],[Equity Peak]],(Tabla33610673486[[#This Row],[Equity Peak]]-Tabla33610673486[[#This Row],[Equity]])/Tabla33610673486[[#This Row],[Equity Peak]],"")</f>
        <v>4.3616655196145902E-2</v>
      </c>
      <c r="V52" s="187">
        <f t="shared" si="26"/>
        <v>-0.84</v>
      </c>
      <c r="W52" s="187">
        <f t="shared" si="27"/>
        <v>0</v>
      </c>
      <c r="X52" s="187">
        <f t="shared" si="28"/>
        <v>0</v>
      </c>
      <c r="Y52" s="187">
        <f t="shared" si="29"/>
        <v>0</v>
      </c>
      <c r="Z52" s="187">
        <f t="shared" si="30"/>
        <v>0</v>
      </c>
      <c r="AA52" s="183">
        <f t="shared" si="31"/>
        <v>0</v>
      </c>
      <c r="AB52" s="187">
        <f t="shared" si="32"/>
        <v>0</v>
      </c>
      <c r="AC52" s="183">
        <f t="shared" si="33"/>
        <v>0</v>
      </c>
      <c r="AD52" s="188">
        <f t="shared" si="34"/>
        <v>0.24583333333430346</v>
      </c>
      <c r="AE52" s="188">
        <f t="shared" si="35"/>
        <v>0</v>
      </c>
      <c r="AF52" s="188">
        <f t="shared" si="36"/>
        <v>0.24583333333430346</v>
      </c>
      <c r="AG52" s="188">
        <f t="shared" si="37"/>
        <v>0</v>
      </c>
    </row>
    <row r="53" spans="2:33" ht="15" customHeight="1" x14ac:dyDescent="0.15">
      <c r="B53" s="174" t="s">
        <v>7</v>
      </c>
      <c r="C53" s="175" t="s">
        <v>15</v>
      </c>
      <c r="D53" s="176" t="str">
        <f t="shared" si="19"/>
        <v>C</v>
      </c>
      <c r="E53" s="177" t="d">
        <v>2021-09-10T09:59:59.99999979045242400</v>
      </c>
      <c r="F53" s="178" t="s">
        <v>102</v>
      </c>
      <c r="G53" s="179">
        <v>152.374</v>
      </c>
      <c r="H53" s="179">
        <v>152.13499999999999</v>
      </c>
      <c r="I53" s="180">
        <f t="shared" si="20"/>
        <v>0.23900000000000432</v>
      </c>
      <c r="J53" s="179">
        <v>153.65100000000001</v>
      </c>
      <c r="K53" s="177" t="d">
        <v>2021-09-10T17:06:59.99999969266355025</v>
      </c>
      <c r="L53" s="179">
        <v>152.292</v>
      </c>
      <c r="M53" s="181">
        <f t="shared" si="21"/>
        <v>-8.2000000000000003E-2</v>
      </c>
      <c r="N53" s="182">
        <f t="shared" si="22"/>
        <v>-0.34</v>
      </c>
      <c r="O53" s="183">
        <f t="shared" si="23"/>
        <v>0</v>
      </c>
      <c r="P53" s="184">
        <f t="shared" si="24"/>
        <v>0</v>
      </c>
      <c r="Q53" s="184">
        <f t="shared" si="25"/>
        <v>-0.34</v>
      </c>
      <c r="R5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28002.5</v>
      </c>
      <c r="T5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53" s="186">
        <f ca="1">IF(Tabla33610673486[[#This Row],[Equity]]&lt;Tabla33610673486[[#This Row],[Equity Peak]],(Tabla33610673486[[#This Row],[Equity Peak]]-Tabla33610673486[[#This Row],[Equity]])/Tabla33610673486[[#This Row],[Equity Peak]],"")</f>
        <v>3.6390227116311083E-2</v>
      </c>
      <c r="V53" s="187">
        <f t="shared" si="26"/>
        <v>-0.34</v>
      </c>
      <c r="W53" s="187">
        <f t="shared" si="27"/>
        <v>0</v>
      </c>
      <c r="X53" s="187">
        <f t="shared" si="28"/>
        <v>0</v>
      </c>
      <c r="Y53" s="187">
        <f t="shared" si="29"/>
        <v>0</v>
      </c>
      <c r="Z53" s="187">
        <f t="shared" si="30"/>
        <v>0</v>
      </c>
      <c r="AA53" s="183">
        <f t="shared" si="31"/>
        <v>0</v>
      </c>
      <c r="AB53" s="187">
        <f t="shared" si="32"/>
        <v>0</v>
      </c>
      <c r="AC53" s="183">
        <f t="shared" si="33"/>
        <v>0</v>
      </c>
      <c r="AD53" s="188">
        <f t="shared" si="34"/>
        <v>0.29652777777664596</v>
      </c>
      <c r="AE53" s="188">
        <f t="shared" si="35"/>
        <v>0</v>
      </c>
      <c r="AF53" s="188">
        <f t="shared" si="36"/>
        <v>0.29652777777664596</v>
      </c>
      <c r="AG53" s="188">
        <f t="shared" si="37"/>
        <v>0</v>
      </c>
    </row>
    <row r="54" spans="2:33" ht="15" customHeight="1" x14ac:dyDescent="0.15">
      <c r="B54" s="174" t="s">
        <v>7</v>
      </c>
      <c r="C54" s="175" t="s">
        <v>13</v>
      </c>
      <c r="D54" s="176" t="str">
        <f t="shared" si="19"/>
        <v>C</v>
      </c>
      <c r="E54" s="177" t="d">
        <v>2021-09-07T15:00:00.000</v>
      </c>
      <c r="F54" s="178" t="s">
        <v>102</v>
      </c>
      <c r="G54" s="179">
        <v>151.553</v>
      </c>
      <c r="H54" s="179">
        <v>151.77099999999999</v>
      </c>
      <c r="I54" s="180">
        <f t="shared" si="20"/>
        <v>0.21799999999998931</v>
      </c>
      <c r="J54" s="179">
        <v>150.38999999999999</v>
      </c>
      <c r="K54" s="177" t="d">
        <v>2021-09-07T16:06:59.99999990221113300</v>
      </c>
      <c r="L54" s="179">
        <v>151.77099999999999</v>
      </c>
      <c r="M54" s="181">
        <f t="shared" si="21"/>
        <v>-0.218</v>
      </c>
      <c r="N54" s="182">
        <f t="shared" si="22"/>
        <v>-1</v>
      </c>
      <c r="O54" s="183">
        <f t="shared" si="23"/>
        <v>0</v>
      </c>
      <c r="P54" s="184">
        <f t="shared" si="24"/>
        <v>0</v>
      </c>
      <c r="Q54" s="184">
        <f t="shared" si="25"/>
        <v>-1</v>
      </c>
      <c r="R5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28087.5</v>
      </c>
      <c r="T5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54" s="186">
        <f ca="1">IF(Tabla33610673486[[#This Row],[Equity]]&lt;Tabla33610673486[[#This Row],[Equity Peak]],(Tabla33610673486[[#This Row],[Equity Peak]]-Tabla33610673486[[#This Row],[Equity]])/Tabla33610673486[[#This Row],[Equity Peak]],"")</f>
        <v>3.3465244322092226E-2</v>
      </c>
      <c r="V54" s="187">
        <f t="shared" si="26"/>
        <v>-1</v>
      </c>
      <c r="W54" s="187">
        <f t="shared" si="27"/>
        <v>0</v>
      </c>
      <c r="X54" s="187">
        <f t="shared" si="28"/>
        <v>0</v>
      </c>
      <c r="Y54" s="187">
        <f t="shared" si="29"/>
        <v>0</v>
      </c>
      <c r="Z54" s="187">
        <f t="shared" si="30"/>
        <v>0</v>
      </c>
      <c r="AA54" s="183">
        <f t="shared" si="31"/>
        <v>0</v>
      </c>
      <c r="AB54" s="187">
        <f t="shared" si="32"/>
        <v>0</v>
      </c>
      <c r="AC54" s="183">
        <f t="shared" si="33"/>
        <v>0</v>
      </c>
      <c r="AD54" s="188">
        <f t="shared" si="34"/>
        <v>4.6527777776645962E-2</v>
      </c>
      <c r="AE54" s="188">
        <f t="shared" si="35"/>
        <v>0</v>
      </c>
      <c r="AF54" s="188">
        <f t="shared" si="36"/>
        <v>4.6527777776645962E-2</v>
      </c>
      <c r="AG54" s="188">
        <f t="shared" si="37"/>
        <v>0</v>
      </c>
    </row>
    <row r="55" spans="2:33" ht="15" customHeight="1" x14ac:dyDescent="0.15">
      <c r="B55" s="174" t="s">
        <v>7</v>
      </c>
      <c r="C55" s="175" t="s">
        <v>15</v>
      </c>
      <c r="D55" s="176" t="str">
        <f t="shared" si="19"/>
        <v>C</v>
      </c>
      <c r="E55" s="177" t="d">
        <v>2021-09-02T17:00:00.00000020954757600</v>
      </c>
      <c r="F55" s="178" t="s">
        <v>102</v>
      </c>
      <c r="G55" s="179">
        <v>151.99299999999999</v>
      </c>
      <c r="H55" s="179">
        <v>151.76</v>
      </c>
      <c r="I55" s="180">
        <f t="shared" si="20"/>
        <v>0.23300000000000409</v>
      </c>
      <c r="J55" s="179">
        <v>153.23699999999999</v>
      </c>
      <c r="K55" s="177" t="d">
        <v>2021-09-03T13:09:00.00000029336660775</v>
      </c>
      <c r="L55" s="179">
        <v>152.012</v>
      </c>
      <c r="M55" s="181">
        <f t="shared" si="21"/>
        <v>1.9E-2</v>
      </c>
      <c r="N55" s="182">
        <f t="shared" si="22"/>
        <v>0.08</v>
      </c>
      <c r="O55" s="183">
        <f t="shared" si="23"/>
        <v>0</v>
      </c>
      <c r="P55" s="184">
        <f t="shared" si="24"/>
        <v>0.08</v>
      </c>
      <c r="Q55" s="184">
        <f t="shared" si="25"/>
        <v>0</v>
      </c>
      <c r="R5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28337.5</v>
      </c>
      <c r="T5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55" s="186">
        <f ca="1">IF(Tabla33610673486[[#This Row],[Equity]]&lt;Tabla33610673486[[#This Row],[Equity Peak]],(Tabla33610673486[[#This Row],[Equity Peak]]-Tabla33610673486[[#This Row],[Equity]])/Tabla33610673486[[#This Row],[Equity Peak]],"")</f>
        <v>2.4862353750860287E-2</v>
      </c>
      <c r="V55" s="187">
        <f t="shared" si="26"/>
        <v>0.08</v>
      </c>
      <c r="W55" s="187">
        <f t="shared" si="27"/>
        <v>0</v>
      </c>
      <c r="X55" s="187">
        <f t="shared" si="28"/>
        <v>0</v>
      </c>
      <c r="Y55" s="187">
        <f t="shared" si="29"/>
        <v>0</v>
      </c>
      <c r="Z55" s="187">
        <f t="shared" si="30"/>
        <v>0</v>
      </c>
      <c r="AA55" s="183">
        <f t="shared" si="31"/>
        <v>0</v>
      </c>
      <c r="AB55" s="187">
        <f t="shared" si="32"/>
        <v>0</v>
      </c>
      <c r="AC55" s="183">
        <f t="shared" si="33"/>
        <v>0</v>
      </c>
      <c r="AD55" s="188">
        <f t="shared" si="34"/>
        <v>0.83958333333430346</v>
      </c>
      <c r="AE55" s="188">
        <f t="shared" si="35"/>
        <v>0.83958333333430346</v>
      </c>
      <c r="AF55" s="188">
        <f t="shared" si="36"/>
        <v>0</v>
      </c>
      <c r="AG55" s="188">
        <f t="shared" si="37"/>
        <v>0</v>
      </c>
    </row>
    <row r="56" spans="2:33" ht="15" customHeight="1" x14ac:dyDescent="0.15">
      <c r="B56" s="174" t="s">
        <v>7</v>
      </c>
      <c r="C56" s="175" t="s">
        <v>15</v>
      </c>
      <c r="D56" s="176" t="str">
        <f t="shared" si="19"/>
        <v>C</v>
      </c>
      <c r="E56" s="177" t="d">
        <v>2021-09-01T09:45:00.000</v>
      </c>
      <c r="F56" s="178" t="s">
        <v>102</v>
      </c>
      <c r="G56" s="179">
        <v>151.63</v>
      </c>
      <c r="H56" s="179">
        <v>151.38900000000001</v>
      </c>
      <c r="I56" s="180">
        <f t="shared" si="20"/>
        <v>0.24099999999998545</v>
      </c>
      <c r="J56" s="179">
        <v>152.91499999999999</v>
      </c>
      <c r="K56" s="177" t="d">
        <v>2021-09-01T21:36:00.00000012572854425</v>
      </c>
      <c r="L56" s="179">
        <v>151.542</v>
      </c>
      <c r="M56" s="181">
        <f t="shared" si="21"/>
        <v>-8.7999999999999995E-2</v>
      </c>
      <c r="N56" s="182">
        <f t="shared" si="22"/>
        <v>-0.37</v>
      </c>
      <c r="O56" s="183">
        <f t="shared" si="23"/>
        <v>0</v>
      </c>
      <c r="P56" s="184">
        <f t="shared" si="24"/>
        <v>0</v>
      </c>
      <c r="Q56" s="184">
        <f t="shared" si="25"/>
        <v>-0.37</v>
      </c>
      <c r="R5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28317.5</v>
      </c>
      <c r="T5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56" s="186">
        <f ca="1">IF(Tabla33610673486[[#This Row],[Equity]]&lt;Tabla33610673486[[#This Row],[Equity Peak]],(Tabla33610673486[[#This Row],[Equity Peak]]-Tabla33610673486[[#This Row],[Equity]])/Tabla33610673486[[#This Row],[Equity Peak]],"")</f>
        <v>2.5550584996558844E-2</v>
      </c>
      <c r="V56" s="187">
        <f t="shared" si="26"/>
        <v>-0.37</v>
      </c>
      <c r="W56" s="187">
        <f t="shared" si="27"/>
        <v>0</v>
      </c>
      <c r="X56" s="187">
        <f t="shared" si="28"/>
        <v>0</v>
      </c>
      <c r="Y56" s="187">
        <f t="shared" si="29"/>
        <v>0</v>
      </c>
      <c r="Z56" s="187">
        <f t="shared" si="30"/>
        <v>0</v>
      </c>
      <c r="AA56" s="183">
        <f t="shared" si="31"/>
        <v>0</v>
      </c>
      <c r="AB56" s="187">
        <f t="shared" si="32"/>
        <v>0</v>
      </c>
      <c r="AC56" s="183">
        <f t="shared" si="33"/>
        <v>0</v>
      </c>
      <c r="AD56" s="188">
        <f t="shared" si="34"/>
        <v>0.49375000000145519</v>
      </c>
      <c r="AE56" s="188">
        <f t="shared" si="35"/>
        <v>0</v>
      </c>
      <c r="AF56" s="188">
        <f t="shared" si="36"/>
        <v>0.49375000000145519</v>
      </c>
      <c r="AG56" s="188">
        <f t="shared" si="37"/>
        <v>0</v>
      </c>
    </row>
    <row r="57" spans="2:33" ht="15" customHeight="1" x14ac:dyDescent="0.15">
      <c r="B57" s="174" t="s">
        <v>7</v>
      </c>
      <c r="C57" s="175" t="s">
        <v>15</v>
      </c>
      <c r="D57" s="176" t="str">
        <f t="shared" si="19"/>
        <v>C</v>
      </c>
      <c r="E57" s="177" t="d">
        <v>2021-08-25T17:45:00.00000020954757600</v>
      </c>
      <c r="F57" s="178" t="s">
        <v>102</v>
      </c>
      <c r="G57" s="179">
        <v>151.07599999999999</v>
      </c>
      <c r="H57" s="179">
        <v>150.809</v>
      </c>
      <c r="I57" s="180">
        <f t="shared" si="20"/>
        <v>0.26699999999999591</v>
      </c>
      <c r="J57" s="179">
        <v>152.5</v>
      </c>
      <c r="K57" s="177" t="d">
        <v>2021-08-26T06:24:00.00000029336660775</v>
      </c>
      <c r="L57" s="179">
        <v>151.142</v>
      </c>
      <c r="M57" s="181">
        <f t="shared" si="21"/>
        <v>6.6000000000000003E-2</v>
      </c>
      <c r="N57" s="182">
        <f t="shared" si="22"/>
        <v>0.25</v>
      </c>
      <c r="O57" s="183">
        <f t="shared" si="23"/>
        <v>0</v>
      </c>
      <c r="P57" s="184">
        <f t="shared" si="24"/>
        <v>0.25</v>
      </c>
      <c r="Q57" s="184">
        <f t="shared" si="25"/>
        <v>0</v>
      </c>
      <c r="R5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28410</v>
      </c>
      <c r="T5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57" s="186">
        <f ca="1">IF(Tabla33610673486[[#This Row],[Equity]]&lt;Tabla33610673486[[#This Row],[Equity Peak]],(Tabla33610673486[[#This Row],[Equity Peak]]-Tabla33610673486[[#This Row],[Equity]])/Tabla33610673486[[#This Row],[Equity Peak]],"")</f>
        <v>2.2367515485203028E-2</v>
      </c>
      <c r="V57" s="187">
        <f t="shared" si="26"/>
        <v>0.25</v>
      </c>
      <c r="W57" s="187">
        <f t="shared" si="27"/>
        <v>0</v>
      </c>
      <c r="X57" s="187">
        <f t="shared" si="28"/>
        <v>0</v>
      </c>
      <c r="Y57" s="187">
        <f t="shared" si="29"/>
        <v>0</v>
      </c>
      <c r="Z57" s="187">
        <f t="shared" si="30"/>
        <v>0</v>
      </c>
      <c r="AA57" s="183">
        <f t="shared" si="31"/>
        <v>0</v>
      </c>
      <c r="AB57" s="187">
        <f t="shared" si="32"/>
        <v>0</v>
      </c>
      <c r="AC57" s="183">
        <f t="shared" si="33"/>
        <v>0</v>
      </c>
      <c r="AD57" s="188">
        <f t="shared" si="34"/>
        <v>0.52708333333430346</v>
      </c>
      <c r="AE57" s="188">
        <f t="shared" si="35"/>
        <v>0.52708333333430346</v>
      </c>
      <c r="AF57" s="188">
        <f t="shared" si="36"/>
        <v>0</v>
      </c>
      <c r="AG57" s="188">
        <f t="shared" si="37"/>
        <v>0</v>
      </c>
    </row>
    <row r="58" spans="2:33" ht="15" customHeight="1" x14ac:dyDescent="0.15">
      <c r="B58" s="174" t="s">
        <v>7</v>
      </c>
      <c r="C58" s="175" t="s">
        <v>13</v>
      </c>
      <c r="D58" s="176" t="str">
        <f t="shared" si="19"/>
        <v>C</v>
      </c>
      <c r="E58" s="177" t="d">
        <v>2021-08-19T11:15:00.000</v>
      </c>
      <c r="F58" s="178" t="s">
        <v>102</v>
      </c>
      <c r="G58" s="179">
        <v>150.18199999999999</v>
      </c>
      <c r="H58" s="179">
        <v>150.45400000000001</v>
      </c>
      <c r="I58" s="180">
        <f t="shared" si="20"/>
        <v>0.27200000000001978</v>
      </c>
      <c r="J58" s="179">
        <v>148.73099999999999</v>
      </c>
      <c r="K58" s="177" t="d">
        <v>2021-08-19T12:39:00.00000008381903175</v>
      </c>
      <c r="L58" s="179">
        <v>150.09800000000001</v>
      </c>
      <c r="M58" s="181">
        <f t="shared" si="21"/>
        <v>8.4000000000000005E-2</v>
      </c>
      <c r="N58" s="182">
        <f t="shared" si="22"/>
        <v>0.31</v>
      </c>
      <c r="O58" s="183">
        <f t="shared" si="23"/>
        <v>0</v>
      </c>
      <c r="P58" s="184">
        <f t="shared" si="24"/>
        <v>0.31</v>
      </c>
      <c r="Q58" s="184">
        <f t="shared" si="25"/>
        <v>0</v>
      </c>
      <c r="R5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28347.5</v>
      </c>
      <c r="T5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58" s="186">
        <f ca="1">IF(Tabla33610673486[[#This Row],[Equity]]&lt;Tabla33610673486[[#This Row],[Equity Peak]],(Tabla33610673486[[#This Row],[Equity Peak]]-Tabla33610673486[[#This Row],[Equity]])/Tabla33610673486[[#This Row],[Equity Peak]],"")</f>
        <v>2.4518238128011013E-2</v>
      </c>
      <c r="V58" s="187">
        <f t="shared" si="26"/>
        <v>0.31</v>
      </c>
      <c r="W58" s="187">
        <f t="shared" si="27"/>
        <v>0</v>
      </c>
      <c r="X58" s="187">
        <f t="shared" si="28"/>
        <v>0</v>
      </c>
      <c r="Y58" s="187">
        <f t="shared" si="29"/>
        <v>0</v>
      </c>
      <c r="Z58" s="187">
        <f t="shared" si="30"/>
        <v>0</v>
      </c>
      <c r="AA58" s="183">
        <f t="shared" si="31"/>
        <v>0</v>
      </c>
      <c r="AB58" s="187">
        <f t="shared" si="32"/>
        <v>0</v>
      </c>
      <c r="AC58" s="183">
        <f t="shared" si="33"/>
        <v>0</v>
      </c>
      <c r="AD58" s="188">
        <f t="shared" si="34"/>
        <v>5.8333333334303461E-2</v>
      </c>
      <c r="AE58" s="188">
        <f t="shared" si="35"/>
        <v>5.8333333334303461E-2</v>
      </c>
      <c r="AF58" s="188">
        <f t="shared" si="36"/>
        <v>0</v>
      </c>
      <c r="AG58" s="188">
        <f t="shared" si="37"/>
        <v>0</v>
      </c>
    </row>
    <row r="59" spans="2:33" ht="15" customHeight="1" x14ac:dyDescent="0.15">
      <c r="B59" s="174" t="s">
        <v>7</v>
      </c>
      <c r="C59" s="175" t="s">
        <v>13</v>
      </c>
      <c r="D59" s="176" t="str">
        <f t="shared" si="19"/>
        <v>C</v>
      </c>
      <c r="E59" s="177" t="d">
        <v>2021-08-12T18:14:59.99999979045242400</v>
      </c>
      <c r="F59" s="178" t="s">
        <v>102</v>
      </c>
      <c r="G59" s="179">
        <v>152.57499999999999</v>
      </c>
      <c r="H59" s="179">
        <v>152.79400000000001</v>
      </c>
      <c r="I59" s="180">
        <f t="shared" si="20"/>
        <v>0.21900000000002251</v>
      </c>
      <c r="J59" s="179">
        <v>151.405</v>
      </c>
      <c r="K59" s="177" t="d">
        <v>2021-08-13T00:52:00.00000011175870900</v>
      </c>
      <c r="L59" s="179">
        <v>152.57</v>
      </c>
      <c r="M59" s="181">
        <f t="shared" si="21"/>
        <v>5.0000000000000001E-3</v>
      </c>
      <c r="N59" s="182">
        <f t="shared" si="22"/>
        <v>0.02</v>
      </c>
      <c r="O59" s="183">
        <f t="shared" si="23"/>
        <v>0</v>
      </c>
      <c r="P59" s="184">
        <f t="shared" si="24"/>
        <v>0.02</v>
      </c>
      <c r="Q59" s="184">
        <f t="shared" si="25"/>
        <v>0</v>
      </c>
      <c r="R5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5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28270</v>
      </c>
      <c r="T5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59" s="186">
        <f ca="1">IF(Tabla33610673486[[#This Row],[Equity]]&lt;Tabla33610673486[[#This Row],[Equity Peak]],(Tabla33610673486[[#This Row],[Equity Peak]]-Tabla33610673486[[#This Row],[Equity]])/Tabla33610673486[[#This Row],[Equity Peak]],"")</f>
        <v>2.7185134205092911E-2</v>
      </c>
      <c r="V59" s="187">
        <f t="shared" si="26"/>
        <v>0.02</v>
      </c>
      <c r="W59" s="187">
        <f t="shared" si="27"/>
        <v>0</v>
      </c>
      <c r="X59" s="187">
        <f t="shared" si="28"/>
        <v>0</v>
      </c>
      <c r="Y59" s="187">
        <f t="shared" si="29"/>
        <v>0</v>
      </c>
      <c r="Z59" s="187">
        <f t="shared" si="30"/>
        <v>0</v>
      </c>
      <c r="AA59" s="183">
        <f t="shared" si="31"/>
        <v>0</v>
      </c>
      <c r="AB59" s="187">
        <f t="shared" si="32"/>
        <v>0</v>
      </c>
      <c r="AC59" s="183">
        <f t="shared" si="33"/>
        <v>0</v>
      </c>
      <c r="AD59" s="188">
        <f t="shared" si="34"/>
        <v>0.27569444444816327</v>
      </c>
      <c r="AE59" s="188">
        <f t="shared" si="35"/>
        <v>0.27569444444816327</v>
      </c>
      <c r="AF59" s="188">
        <f t="shared" si="36"/>
        <v>0</v>
      </c>
      <c r="AG59" s="188">
        <f t="shared" si="37"/>
        <v>0</v>
      </c>
    </row>
    <row r="60" spans="2:33" ht="15" customHeight="1" x14ac:dyDescent="0.15">
      <c r="B60" s="174" t="s">
        <v>7</v>
      </c>
      <c r="C60" s="175" t="s">
        <v>15</v>
      </c>
      <c r="D60" s="176" t="str">
        <f t="shared" si="19"/>
        <v>C</v>
      </c>
      <c r="E60" s="177" t="d">
        <v>2021-08-05T17:15:00.000</v>
      </c>
      <c r="F60" s="178" t="s">
        <v>102</v>
      </c>
      <c r="G60" s="179">
        <v>152.93700000000001</v>
      </c>
      <c r="H60" s="179">
        <v>152.61099999999999</v>
      </c>
      <c r="I60" s="180">
        <f t="shared" si="20"/>
        <v>0.32600000000002183</v>
      </c>
      <c r="J60" s="179">
        <v>154.67500000000001</v>
      </c>
      <c r="K60" s="177" t="d">
        <v>2021-08-09T04:09:00.00000029336660775</v>
      </c>
      <c r="L60" s="179">
        <v>152.80099999999999</v>
      </c>
      <c r="M60" s="181">
        <f t="shared" si="21"/>
        <v>-0.13600000000000001</v>
      </c>
      <c r="N60" s="182">
        <f t="shared" si="22"/>
        <v>-0.42</v>
      </c>
      <c r="O60" s="183">
        <f t="shared" si="23"/>
        <v>0</v>
      </c>
      <c r="P60" s="184">
        <f t="shared" si="24"/>
        <v>0</v>
      </c>
      <c r="Q60" s="184">
        <f t="shared" si="25"/>
        <v>-0.42</v>
      </c>
      <c r="R6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28265</v>
      </c>
      <c r="T6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60" s="186">
        <f ca="1">IF(Tabla33610673486[[#This Row],[Equity]]&lt;Tabla33610673486[[#This Row],[Equity Peak]],(Tabla33610673486[[#This Row],[Equity Peak]]-Tabla33610673486[[#This Row],[Equity]])/Tabla33610673486[[#This Row],[Equity Peak]],"")</f>
        <v>2.735719201651755E-2</v>
      </c>
      <c r="V60" s="187">
        <f t="shared" si="26"/>
        <v>-0.42</v>
      </c>
      <c r="W60" s="187">
        <f t="shared" si="27"/>
        <v>0</v>
      </c>
      <c r="X60" s="187">
        <f t="shared" si="28"/>
        <v>0</v>
      </c>
      <c r="Y60" s="187">
        <f t="shared" si="29"/>
        <v>0</v>
      </c>
      <c r="Z60" s="187">
        <f t="shared" si="30"/>
        <v>0</v>
      </c>
      <c r="AA60" s="183">
        <f t="shared" si="31"/>
        <v>0</v>
      </c>
      <c r="AB60" s="187">
        <f t="shared" si="32"/>
        <v>0</v>
      </c>
      <c r="AC60" s="183">
        <f t="shared" si="33"/>
        <v>0</v>
      </c>
      <c r="AD60" s="188">
        <f t="shared" si="34"/>
        <v>3.4541666666700621</v>
      </c>
      <c r="AE60" s="188">
        <f t="shared" si="35"/>
        <v>0</v>
      </c>
      <c r="AF60" s="188">
        <f t="shared" si="36"/>
        <v>3.4541666666700621</v>
      </c>
      <c r="AG60" s="188">
        <f t="shared" si="37"/>
        <v>0</v>
      </c>
    </row>
    <row r="61" spans="2:33" ht="15" customHeight="1" x14ac:dyDescent="0.15">
      <c r="B61" s="174" t="s">
        <v>7</v>
      </c>
      <c r="C61" s="175" t="s">
        <v>13</v>
      </c>
      <c r="D61" s="176" t="str">
        <f t="shared" si="19"/>
        <v>C</v>
      </c>
      <c r="E61" s="177" t="d">
        <v>2021-08-03T16:44:59.99999979045242400</v>
      </c>
      <c r="F61" s="178" t="s">
        <v>102</v>
      </c>
      <c r="G61" s="179">
        <v>151.38200000000001</v>
      </c>
      <c r="H61" s="179">
        <v>151.679</v>
      </c>
      <c r="I61" s="180">
        <f t="shared" si="20"/>
        <v>0.29699999999999704</v>
      </c>
      <c r="J61" s="179">
        <v>149.80099999999999</v>
      </c>
      <c r="K61" s="177" t="d">
        <v>2021-08-03T18:36:59.99999969266355025</v>
      </c>
      <c r="L61" s="179">
        <v>151.62899999999999</v>
      </c>
      <c r="M61" s="181">
        <f t="shared" si="21"/>
        <v>-0.247</v>
      </c>
      <c r="N61" s="182">
        <f t="shared" si="22"/>
        <v>-0.83</v>
      </c>
      <c r="O61" s="183">
        <f t="shared" si="23"/>
        <v>0</v>
      </c>
      <c r="P61" s="184">
        <f t="shared" si="24"/>
        <v>0</v>
      </c>
      <c r="Q61" s="184">
        <f t="shared" si="25"/>
        <v>-0.83</v>
      </c>
      <c r="R6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28370</v>
      </c>
      <c r="T6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61" s="186">
        <f ca="1">IF(Tabla33610673486[[#This Row],[Equity]]&lt;Tabla33610673486[[#This Row],[Equity Peak]],(Tabla33610673486[[#This Row],[Equity Peak]]-Tabla33610673486[[#This Row],[Equity]])/Tabla33610673486[[#This Row],[Equity Peak]],"")</f>
        <v>2.3743977976600137E-2</v>
      </c>
      <c r="V61" s="187">
        <f t="shared" si="26"/>
        <v>-0.83</v>
      </c>
      <c r="W61" s="187">
        <f t="shared" si="27"/>
        <v>0</v>
      </c>
      <c r="X61" s="187">
        <f t="shared" si="28"/>
        <v>0</v>
      </c>
      <c r="Y61" s="187">
        <f t="shared" si="29"/>
        <v>0</v>
      </c>
      <c r="Z61" s="187">
        <f t="shared" si="30"/>
        <v>0</v>
      </c>
      <c r="AA61" s="183">
        <f t="shared" si="31"/>
        <v>0</v>
      </c>
      <c r="AB61" s="187">
        <f t="shared" si="32"/>
        <v>0</v>
      </c>
      <c r="AC61" s="183">
        <f t="shared" si="33"/>
        <v>0</v>
      </c>
      <c r="AD61" s="188">
        <f t="shared" si="34"/>
        <v>7.7777777776645962E-2</v>
      </c>
      <c r="AE61" s="188">
        <f t="shared" si="35"/>
        <v>0</v>
      </c>
      <c r="AF61" s="188">
        <f t="shared" si="36"/>
        <v>7.7777777776645962E-2</v>
      </c>
      <c r="AG61" s="188">
        <f t="shared" si="37"/>
        <v>0</v>
      </c>
    </row>
    <row r="62" spans="2:33" ht="15" customHeight="1" x14ac:dyDescent="0.15">
      <c r="B62" s="174" t="s">
        <v>7</v>
      </c>
      <c r="C62" s="175" t="s">
        <v>13</v>
      </c>
      <c r="D62" s="176" t="str">
        <f t="shared" si="19"/>
        <v>C</v>
      </c>
      <c r="E62" s="177" t="d">
        <v>2021-08-02T14:00:00.00000020954757600</v>
      </c>
      <c r="F62" s="178" t="s">
        <v>102</v>
      </c>
      <c r="G62" s="179">
        <v>152.22200000000001</v>
      </c>
      <c r="H62" s="179">
        <v>152.51599999999999</v>
      </c>
      <c r="I62" s="180">
        <f t="shared" si="20"/>
        <v>0.29399999999998272</v>
      </c>
      <c r="J62" s="179">
        <v>150.65199999999999</v>
      </c>
      <c r="K62" s="177" t="d">
        <v>2021-08-03T10:38:59.99999987427145575</v>
      </c>
      <c r="L62" s="179">
        <v>151.946</v>
      </c>
      <c r="M62" s="181">
        <f t="shared" si="21"/>
        <v>0.27600000000000002</v>
      </c>
      <c r="N62" s="182">
        <f t="shared" si="22"/>
        <v>0.94</v>
      </c>
      <c r="O62" s="183">
        <f t="shared" si="23"/>
        <v>0</v>
      </c>
      <c r="P62" s="184">
        <f t="shared" si="24"/>
        <v>0.94</v>
      </c>
      <c r="Q62" s="184">
        <f t="shared" si="25"/>
        <v>0</v>
      </c>
      <c r="R6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28577.5</v>
      </c>
      <c r="T6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62" s="186">
        <f ca="1">IF(Tabla33610673486[[#This Row],[Equity]]&lt;Tabla33610673486[[#This Row],[Equity Peak]],(Tabla33610673486[[#This Row],[Equity Peak]]-Tabla33610673486[[#This Row],[Equity]])/Tabla33610673486[[#This Row],[Equity Peak]],"")</f>
        <v>1.6603578802477634E-2</v>
      </c>
      <c r="V62" s="187">
        <f t="shared" si="26"/>
        <v>0.94</v>
      </c>
      <c r="W62" s="187">
        <f t="shared" si="27"/>
        <v>0</v>
      </c>
      <c r="X62" s="187">
        <f t="shared" si="28"/>
        <v>0</v>
      </c>
      <c r="Y62" s="187">
        <f t="shared" si="29"/>
        <v>0</v>
      </c>
      <c r="Z62" s="187">
        <f t="shared" si="30"/>
        <v>0</v>
      </c>
      <c r="AA62" s="183">
        <f t="shared" si="31"/>
        <v>0</v>
      </c>
      <c r="AB62" s="187">
        <f t="shared" si="32"/>
        <v>0</v>
      </c>
      <c r="AC62" s="183">
        <f t="shared" si="33"/>
        <v>0</v>
      </c>
      <c r="AD62" s="188">
        <f t="shared" si="34"/>
        <v>0.86041666666278616</v>
      </c>
      <c r="AE62" s="188">
        <f t="shared" si="35"/>
        <v>0.86041666666278616</v>
      </c>
      <c r="AF62" s="188">
        <f t="shared" si="36"/>
        <v>0</v>
      </c>
      <c r="AG62" s="188">
        <f t="shared" si="37"/>
        <v>0</v>
      </c>
    </row>
    <row r="63" spans="2:33" ht="15" customHeight="1" x14ac:dyDescent="0.15">
      <c r="B63" s="174" t="s">
        <v>7</v>
      </c>
      <c r="C63" s="175" t="s">
        <v>15</v>
      </c>
      <c r="D63" s="176" t="str">
        <f t="shared" si="19"/>
        <v>C</v>
      </c>
      <c r="E63" s="177" t="d">
        <v>2021-07-28T12:00:00.000</v>
      </c>
      <c r="F63" s="178" t="s">
        <v>102</v>
      </c>
      <c r="G63" s="179">
        <v>152.74600000000001</v>
      </c>
      <c r="H63" s="179">
        <v>152.40100000000001</v>
      </c>
      <c r="I63" s="180">
        <f t="shared" si="20"/>
        <v>0.34499999999999886</v>
      </c>
      <c r="J63" s="179">
        <v>154.58799999999999</v>
      </c>
      <c r="K63" s="177" t="d">
        <v>2021-07-29T18:21:59.99999990221113300</v>
      </c>
      <c r="L63" s="179">
        <v>152.99700000000001</v>
      </c>
      <c r="M63" s="181">
        <f t="shared" si="21"/>
        <v>0.251</v>
      </c>
      <c r="N63" s="182">
        <f t="shared" si="22"/>
        <v>0.73</v>
      </c>
      <c r="O63" s="183">
        <f t="shared" si="23"/>
        <v>0</v>
      </c>
      <c r="P63" s="184">
        <f t="shared" si="24"/>
        <v>0.73</v>
      </c>
      <c r="Q63" s="184">
        <f t="shared" si="25"/>
        <v>0</v>
      </c>
      <c r="R6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28342.5</v>
      </c>
      <c r="T6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63" s="186">
        <f ca="1">IF(Tabla33610673486[[#This Row],[Equity]]&lt;Tabla33610673486[[#This Row],[Equity Peak]],(Tabla33610673486[[#This Row],[Equity Peak]]-Tabla33610673486[[#This Row],[Equity]])/Tabla33610673486[[#This Row],[Equity Peak]],"")</f>
        <v>2.4690295939435652E-2</v>
      </c>
      <c r="V63" s="187">
        <f t="shared" si="26"/>
        <v>0.73</v>
      </c>
      <c r="W63" s="187">
        <f t="shared" si="27"/>
        <v>0</v>
      </c>
      <c r="X63" s="187">
        <f t="shared" si="28"/>
        <v>0</v>
      </c>
      <c r="Y63" s="187">
        <f t="shared" si="29"/>
        <v>0</v>
      </c>
      <c r="Z63" s="187">
        <f t="shared" si="30"/>
        <v>0</v>
      </c>
      <c r="AA63" s="183">
        <f t="shared" si="31"/>
        <v>0</v>
      </c>
      <c r="AB63" s="187">
        <f t="shared" si="32"/>
        <v>0</v>
      </c>
      <c r="AC63" s="183">
        <f t="shared" si="33"/>
        <v>0</v>
      </c>
      <c r="AD63" s="188">
        <f t="shared" si="34"/>
        <v>1.265277777776646</v>
      </c>
      <c r="AE63" s="188">
        <f t="shared" si="35"/>
        <v>1.265277777776646</v>
      </c>
      <c r="AF63" s="188">
        <f t="shared" si="36"/>
        <v>0</v>
      </c>
      <c r="AG63" s="188">
        <f t="shared" si="37"/>
        <v>0</v>
      </c>
    </row>
    <row r="64" spans="2:33" ht="15" customHeight="1" x14ac:dyDescent="0.15">
      <c r="B64" s="174" t="s">
        <v>7</v>
      </c>
      <c r="C64" s="175" t="s">
        <v>15</v>
      </c>
      <c r="D64" s="176" t="str">
        <f t="shared" si="19"/>
        <v>C</v>
      </c>
      <c r="E64" s="177" t="d">
        <v>2021-07-26T16:44:59.99999979045242400</v>
      </c>
      <c r="F64" s="178" t="s">
        <v>102</v>
      </c>
      <c r="G64" s="179">
        <v>152.39500000000001</v>
      </c>
      <c r="H64" s="179">
        <v>152.07</v>
      </c>
      <c r="I64" s="180">
        <f t="shared" si="20"/>
        <v>0.32500000000001705</v>
      </c>
      <c r="J64" s="179">
        <v>154.126</v>
      </c>
      <c r="K64" s="177" t="d">
        <v>2021-07-27T09:08:59.99999987427145575</v>
      </c>
      <c r="L64" s="179">
        <v>152.196</v>
      </c>
      <c r="M64" s="181">
        <f t="shared" si="21"/>
        <v>-0.19900000000000001</v>
      </c>
      <c r="N64" s="182">
        <f t="shared" si="22"/>
        <v>-0.61</v>
      </c>
      <c r="O64" s="183">
        <f t="shared" si="23"/>
        <v>0</v>
      </c>
      <c r="P64" s="184">
        <f t="shared" si="24"/>
        <v>0</v>
      </c>
      <c r="Q64" s="184">
        <f t="shared" si="25"/>
        <v>-0.61</v>
      </c>
      <c r="R6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28160</v>
      </c>
      <c r="T6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64" s="186">
        <f ca="1">IF(Tabla33610673486[[#This Row],[Equity]]&lt;Tabla33610673486[[#This Row],[Equity Peak]],(Tabla33610673486[[#This Row],[Equity Peak]]-Tabla33610673486[[#This Row],[Equity]])/Tabla33610673486[[#This Row],[Equity Peak]],"")</f>
        <v>3.0970406056434963E-2</v>
      </c>
      <c r="V64" s="187">
        <f t="shared" si="26"/>
        <v>-0.61</v>
      </c>
      <c r="W64" s="187">
        <f t="shared" si="27"/>
        <v>0</v>
      </c>
      <c r="X64" s="187">
        <f t="shared" si="28"/>
        <v>0</v>
      </c>
      <c r="Y64" s="187">
        <f t="shared" si="29"/>
        <v>0</v>
      </c>
      <c r="Z64" s="187">
        <f t="shared" si="30"/>
        <v>0</v>
      </c>
      <c r="AA64" s="183">
        <f t="shared" si="31"/>
        <v>0</v>
      </c>
      <c r="AB64" s="187">
        <f t="shared" si="32"/>
        <v>0</v>
      </c>
      <c r="AC64" s="183">
        <f t="shared" si="33"/>
        <v>0</v>
      </c>
      <c r="AD64" s="188">
        <f t="shared" si="34"/>
        <v>0.68333333333430346</v>
      </c>
      <c r="AE64" s="188">
        <f t="shared" si="35"/>
        <v>0</v>
      </c>
      <c r="AF64" s="188">
        <f t="shared" si="36"/>
        <v>0.68333333333430346</v>
      </c>
      <c r="AG64" s="188">
        <f t="shared" si="37"/>
        <v>0</v>
      </c>
    </row>
    <row r="65" spans="2:33" ht="15" customHeight="1" x14ac:dyDescent="0.15">
      <c r="B65" s="174" t="s">
        <v>7</v>
      </c>
      <c r="C65" s="175" t="s">
        <v>15</v>
      </c>
      <c r="D65" s="176" t="str">
        <f t="shared" si="19"/>
        <v>C</v>
      </c>
      <c r="E65" s="177" t="d">
        <v>2021-07-26T12:45:00.000</v>
      </c>
      <c r="F65" s="178" t="s">
        <v>102</v>
      </c>
      <c r="G65" s="179">
        <v>152.21899999999999</v>
      </c>
      <c r="H65" s="179">
        <v>151.92099999999999</v>
      </c>
      <c r="I65" s="180">
        <f t="shared" si="20"/>
        <v>0.29800000000000182</v>
      </c>
      <c r="J65" s="179">
        <v>153.80799999999999</v>
      </c>
      <c r="K65" s="177" t="d">
        <v>2021-07-26T14:16:00.00000019557774075</v>
      </c>
      <c r="L65" s="179">
        <v>151.92099999999999</v>
      </c>
      <c r="M65" s="181">
        <f t="shared" si="21"/>
        <v>-0.29799999999999999</v>
      </c>
      <c r="N65" s="182">
        <f t="shared" si="22"/>
        <v>-1</v>
      </c>
      <c r="O65" s="183">
        <f t="shared" si="23"/>
        <v>0</v>
      </c>
      <c r="P65" s="184">
        <f t="shared" si="24"/>
        <v>0</v>
      </c>
      <c r="Q65" s="184">
        <f t="shared" si="25"/>
        <v>-1</v>
      </c>
      <c r="R6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28312.5</v>
      </c>
      <c r="T6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65" s="186">
        <f ca="1">IF(Tabla33610673486[[#This Row],[Equity]]&lt;Tabla33610673486[[#This Row],[Equity Peak]],(Tabla33610673486[[#This Row],[Equity Peak]]-Tabla33610673486[[#This Row],[Equity]])/Tabla33610673486[[#This Row],[Equity Peak]],"")</f>
        <v>2.5722642807983483E-2</v>
      </c>
      <c r="V65" s="187">
        <f t="shared" si="26"/>
        <v>-1</v>
      </c>
      <c r="W65" s="187">
        <f t="shared" si="27"/>
        <v>0</v>
      </c>
      <c r="X65" s="187">
        <f t="shared" si="28"/>
        <v>0</v>
      </c>
      <c r="Y65" s="187">
        <f t="shared" si="29"/>
        <v>0</v>
      </c>
      <c r="Z65" s="187">
        <f t="shared" si="30"/>
        <v>0</v>
      </c>
      <c r="AA65" s="183">
        <f t="shared" si="31"/>
        <v>0</v>
      </c>
      <c r="AB65" s="187">
        <f t="shared" si="32"/>
        <v>0</v>
      </c>
      <c r="AC65" s="183">
        <f t="shared" si="33"/>
        <v>0</v>
      </c>
      <c r="AD65" s="188">
        <f t="shared" si="34"/>
        <v>6.3194444446708076E-2</v>
      </c>
      <c r="AE65" s="188">
        <f t="shared" si="35"/>
        <v>0</v>
      </c>
      <c r="AF65" s="188">
        <f t="shared" si="36"/>
        <v>6.3194444446708076E-2</v>
      </c>
      <c r="AG65" s="188">
        <f t="shared" si="37"/>
        <v>0</v>
      </c>
    </row>
    <row r="66" spans="2:33" ht="15" customHeight="1" x14ac:dyDescent="0.15">
      <c r="B66" s="174" t="s">
        <v>7</v>
      </c>
      <c r="C66" s="175" t="s">
        <v>15</v>
      </c>
      <c r="D66" s="176" t="str">
        <f t="shared" si="19"/>
        <v>C</v>
      </c>
      <c r="E66" s="177" t="d">
        <v>2021-07-23T15:14:59.99999979045242400</v>
      </c>
      <c r="F66" s="178" t="s">
        <v>102</v>
      </c>
      <c r="G66" s="179">
        <v>152.102</v>
      </c>
      <c r="H66" s="179">
        <v>151.756</v>
      </c>
      <c r="I66" s="180">
        <f t="shared" si="20"/>
        <v>0.34600000000000364</v>
      </c>
      <c r="J66" s="179">
        <v>153.946</v>
      </c>
      <c r="K66" s="177" t="d">
        <v>2021-07-26T04:05:59.99999970663339225</v>
      </c>
      <c r="L66" s="179">
        <v>151.78100000000001</v>
      </c>
      <c r="M66" s="181">
        <f t="shared" si="21"/>
        <v>-0.32100000000000001</v>
      </c>
      <c r="N66" s="182">
        <f t="shared" si="22"/>
        <v>-0.93</v>
      </c>
      <c r="O66" s="183">
        <f t="shared" si="23"/>
        <v>0</v>
      </c>
      <c r="P66" s="184">
        <f t="shared" si="24"/>
        <v>0</v>
      </c>
      <c r="Q66" s="184">
        <f t="shared" si="25"/>
        <v>-0.93</v>
      </c>
      <c r="R6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28562.5</v>
      </c>
      <c r="T6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66" s="186">
        <f ca="1">IF(Tabla33610673486[[#This Row],[Equity]]&lt;Tabla33610673486[[#This Row],[Equity Peak]],(Tabla33610673486[[#This Row],[Equity Peak]]-Tabla33610673486[[#This Row],[Equity]])/Tabla33610673486[[#This Row],[Equity Peak]],"")</f>
        <v>1.7119752236751547E-2</v>
      </c>
      <c r="V66" s="187">
        <f t="shared" si="26"/>
        <v>-0.93</v>
      </c>
      <c r="W66" s="187">
        <f t="shared" si="27"/>
        <v>0</v>
      </c>
      <c r="X66" s="187">
        <f t="shared" si="28"/>
        <v>0</v>
      </c>
      <c r="Y66" s="187">
        <f t="shared" si="29"/>
        <v>0</v>
      </c>
      <c r="Z66" s="187">
        <f t="shared" si="30"/>
        <v>0</v>
      </c>
      <c r="AA66" s="183">
        <f t="shared" si="31"/>
        <v>0</v>
      </c>
      <c r="AB66" s="187">
        <f t="shared" si="32"/>
        <v>0</v>
      </c>
      <c r="AC66" s="183">
        <f t="shared" si="33"/>
        <v>0</v>
      </c>
      <c r="AD66" s="188">
        <f t="shared" si="34"/>
        <v>2.5354166666656965</v>
      </c>
      <c r="AE66" s="188">
        <f t="shared" si="35"/>
        <v>0</v>
      </c>
      <c r="AF66" s="188">
        <f t="shared" si="36"/>
        <v>2.5354166666656965</v>
      </c>
      <c r="AG66" s="188">
        <f t="shared" si="37"/>
        <v>0</v>
      </c>
    </row>
    <row r="67" spans="2:33" ht="15" customHeight="1" x14ac:dyDescent="0.15">
      <c r="B67" s="174" t="s">
        <v>7</v>
      </c>
      <c r="C67" s="175" t="s">
        <v>15</v>
      </c>
      <c r="D67" s="176" t="str">
        <f t="shared" si="19"/>
        <v>C</v>
      </c>
      <c r="E67" s="177" t="d">
        <v>2021-07-22T10:15:00.00000020954757600</v>
      </c>
      <c r="F67" s="178" t="s">
        <v>102</v>
      </c>
      <c r="G67" s="179">
        <v>151.50700000000001</v>
      </c>
      <c r="H67" s="179">
        <v>151.17599999999999</v>
      </c>
      <c r="I67" s="180">
        <f t="shared" si="20"/>
        <v>0.33100000000001728</v>
      </c>
      <c r="J67" s="179">
        <v>153.27099999999999</v>
      </c>
      <c r="K67" s="177" t="d">
        <v>2021-07-22T18:39:00.00000008381903175</v>
      </c>
      <c r="L67" s="179">
        <v>151.37299999999999</v>
      </c>
      <c r="M67" s="181">
        <f t="shared" si="21"/>
        <v>-0.13400000000000001</v>
      </c>
      <c r="N67" s="182">
        <f t="shared" si="22"/>
        <v>-0.4</v>
      </c>
      <c r="O67" s="183">
        <f t="shared" si="23"/>
        <v>0</v>
      </c>
      <c r="P67" s="184">
        <f t="shared" si="24"/>
        <v>0</v>
      </c>
      <c r="Q67" s="184">
        <f t="shared" si="25"/>
        <v>-0.4</v>
      </c>
      <c r="R6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28795</v>
      </c>
      <c r="T6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67" s="186">
        <f ca="1">IF(Tabla33610673486[[#This Row],[Equity]]&lt;Tabla33610673486[[#This Row],[Equity Peak]],(Tabla33610673486[[#This Row],[Equity Peak]]-Tabla33610673486[[#This Row],[Equity]])/Tabla33610673486[[#This Row],[Equity Peak]],"")</f>
        <v>9.1190640055058506E-3</v>
      </c>
      <c r="V67" s="187">
        <f t="shared" si="26"/>
        <v>-0.4</v>
      </c>
      <c r="W67" s="187">
        <f t="shared" si="27"/>
        <v>0</v>
      </c>
      <c r="X67" s="187">
        <f t="shared" si="28"/>
        <v>0</v>
      </c>
      <c r="Y67" s="187">
        <f t="shared" si="29"/>
        <v>0</v>
      </c>
      <c r="Z67" s="187">
        <f t="shared" si="30"/>
        <v>0</v>
      </c>
      <c r="AA67" s="183">
        <f t="shared" si="31"/>
        <v>0</v>
      </c>
      <c r="AB67" s="187">
        <f t="shared" si="32"/>
        <v>0</v>
      </c>
      <c r="AC67" s="183">
        <f t="shared" si="33"/>
        <v>0</v>
      </c>
      <c r="AD67" s="188">
        <f t="shared" si="34"/>
        <v>0.34999999999854481</v>
      </c>
      <c r="AE67" s="188">
        <f t="shared" si="35"/>
        <v>0</v>
      </c>
      <c r="AF67" s="188">
        <f t="shared" si="36"/>
        <v>0.34999999999854481</v>
      </c>
      <c r="AG67" s="188">
        <f t="shared" si="37"/>
        <v>0</v>
      </c>
    </row>
    <row r="68" spans="2:33" ht="15" customHeight="1" x14ac:dyDescent="0.15">
      <c r="B68" s="174" t="s">
        <v>7</v>
      </c>
      <c r="C68" s="175" t="s">
        <v>13</v>
      </c>
      <c r="D68" s="176" t="str">
        <f t="shared" si="19"/>
        <v>C</v>
      </c>
      <c r="E68" s="177" t="d">
        <v>2021-07-16T21:59:59.99999979045242400</v>
      </c>
      <c r="F68" s="178" t="s">
        <v>102</v>
      </c>
      <c r="G68" s="179">
        <v>151.54400000000001</v>
      </c>
      <c r="H68" s="179">
        <v>151.88300000000001</v>
      </c>
      <c r="I68" s="180">
        <f t="shared" si="20"/>
        <v>0.33899999999999864</v>
      </c>
      <c r="J68" s="179">
        <v>149.738</v>
      </c>
      <c r="K68" s="177" t="d">
        <v>2021-07-19T12:39:00.00000008381903175</v>
      </c>
      <c r="L68" s="179">
        <v>150.845</v>
      </c>
      <c r="M68" s="181">
        <f t="shared" si="21"/>
        <v>0.69899999999999995</v>
      </c>
      <c r="N68" s="182">
        <f t="shared" si="22"/>
        <v>2.06</v>
      </c>
      <c r="O68" s="183">
        <f t="shared" si="23"/>
        <v>0</v>
      </c>
      <c r="P68" s="184">
        <f t="shared" si="24"/>
        <v>2.06</v>
      </c>
      <c r="Q68" s="184">
        <f t="shared" si="25"/>
        <v>0</v>
      </c>
      <c r="R6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28895</v>
      </c>
      <c r="T6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68" s="186">
        <f ca="1">IF(Tabla33610673486[[#This Row],[Equity]]&lt;Tabla33610673486[[#This Row],[Equity Peak]],(Tabla33610673486[[#This Row],[Equity Peak]]-Tabla33610673486[[#This Row],[Equity]])/Tabla33610673486[[#This Row],[Equity Peak]],"")</f>
        <v>5.6779077770130765E-3</v>
      </c>
      <c r="V68" s="187">
        <f t="shared" si="26"/>
        <v>2.06</v>
      </c>
      <c r="W68" s="187">
        <f t="shared" si="27"/>
        <v>0</v>
      </c>
      <c r="X68" s="187">
        <f t="shared" si="28"/>
        <v>0</v>
      </c>
      <c r="Y68" s="187">
        <f t="shared" si="29"/>
        <v>0</v>
      </c>
      <c r="Z68" s="187">
        <f t="shared" si="30"/>
        <v>0</v>
      </c>
      <c r="AA68" s="183">
        <f t="shared" si="31"/>
        <v>0</v>
      </c>
      <c r="AB68" s="187">
        <f t="shared" si="32"/>
        <v>0</v>
      </c>
      <c r="AC68" s="183">
        <f t="shared" si="33"/>
        <v>0</v>
      </c>
      <c r="AD68" s="188">
        <f t="shared" si="34"/>
        <v>2.6104166666700621</v>
      </c>
      <c r="AE68" s="188">
        <f t="shared" si="35"/>
        <v>2.6104166666700621</v>
      </c>
      <c r="AF68" s="188">
        <f t="shared" si="36"/>
        <v>0</v>
      </c>
      <c r="AG68" s="188">
        <f t="shared" si="37"/>
        <v>0</v>
      </c>
    </row>
    <row r="69" spans="2:33" ht="15" customHeight="1" x14ac:dyDescent="0.15">
      <c r="B69" s="174" t="s">
        <v>7</v>
      </c>
      <c r="C69" s="175" t="s">
        <v>13</v>
      </c>
      <c r="D69" s="176" t="str">
        <f t="shared" si="19"/>
        <v>C</v>
      </c>
      <c r="E69" s="177" t="d">
        <v>2021-07-15T10:30:00.000</v>
      </c>
      <c r="F69" s="178" t="s">
        <v>102</v>
      </c>
      <c r="G69" s="179">
        <v>151.73099999999999</v>
      </c>
      <c r="H69" s="179">
        <v>152.02099999999999</v>
      </c>
      <c r="I69" s="180">
        <f t="shared" si="20"/>
        <v>0.28999999999999204</v>
      </c>
      <c r="J69" s="179">
        <v>150.18199999999999</v>
      </c>
      <c r="K69" s="177" t="d">
        <v>2021-07-15T11:39:00.00000029336660775</v>
      </c>
      <c r="L69" s="179">
        <v>152.02099999999999</v>
      </c>
      <c r="M69" s="181">
        <f t="shared" si="21"/>
        <v>-0.28999999999999998</v>
      </c>
      <c r="N69" s="182">
        <f t="shared" si="22"/>
        <v>-1</v>
      </c>
      <c r="O69" s="183">
        <f t="shared" si="23"/>
        <v>0</v>
      </c>
      <c r="P69" s="184">
        <f t="shared" si="24"/>
        <v>0</v>
      </c>
      <c r="Q69" s="184">
        <f t="shared" si="25"/>
        <v>-1</v>
      </c>
      <c r="R6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6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28380</v>
      </c>
      <c r="T6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69" s="186">
        <f ca="1">IF(Tabla33610673486[[#This Row],[Equity]]&lt;Tabla33610673486[[#This Row],[Equity Peak]],(Tabla33610673486[[#This Row],[Equity Peak]]-Tabla33610673486[[#This Row],[Equity]])/Tabla33610673486[[#This Row],[Equity Peak]],"")</f>
        <v>2.3399862353750859E-2</v>
      </c>
      <c r="V69" s="187">
        <f t="shared" si="26"/>
        <v>-1</v>
      </c>
      <c r="W69" s="187">
        <f t="shared" si="27"/>
        <v>0</v>
      </c>
      <c r="X69" s="187">
        <f t="shared" si="28"/>
        <v>0</v>
      </c>
      <c r="Y69" s="187">
        <f t="shared" si="29"/>
        <v>0</v>
      </c>
      <c r="Z69" s="187">
        <f t="shared" si="30"/>
        <v>0</v>
      </c>
      <c r="AA69" s="183">
        <f t="shared" si="31"/>
        <v>0</v>
      </c>
      <c r="AB69" s="187">
        <f t="shared" si="32"/>
        <v>0</v>
      </c>
      <c r="AC69" s="183">
        <f t="shared" si="33"/>
        <v>0</v>
      </c>
      <c r="AD69" s="188">
        <f t="shared" si="34"/>
        <v>4.7916666670062114E-2</v>
      </c>
      <c r="AE69" s="188">
        <f t="shared" si="35"/>
        <v>0</v>
      </c>
      <c r="AF69" s="188">
        <f t="shared" si="36"/>
        <v>4.7916666670062114E-2</v>
      </c>
      <c r="AG69" s="188">
        <f t="shared" si="37"/>
        <v>0</v>
      </c>
    </row>
    <row r="70" spans="2:33" ht="15" customHeight="1" x14ac:dyDescent="0.15">
      <c r="B70" s="174" t="s">
        <v>7</v>
      </c>
      <c r="C70" s="175" t="s">
        <v>13</v>
      </c>
      <c r="D70" s="176" t="str">
        <f t="shared" si="19"/>
        <v>C</v>
      </c>
      <c r="E70" s="177" t="d">
        <v>2021-07-15T03:30:00.00000020954757600</v>
      </c>
      <c r="F70" s="178" t="s">
        <v>102</v>
      </c>
      <c r="G70" s="179">
        <v>152.233</v>
      </c>
      <c r="H70" s="179">
        <v>152.495</v>
      </c>
      <c r="I70" s="180">
        <f t="shared" si="20"/>
        <v>0.26200000000000045</v>
      </c>
      <c r="J70" s="179">
        <v>150.834</v>
      </c>
      <c r="K70" s="177" t="d">
        <v>2021-07-15T09:39:00.00000008381903175</v>
      </c>
      <c r="L70" s="179">
        <v>152.25399999999999</v>
      </c>
      <c r="M70" s="181">
        <f t="shared" si="21"/>
        <v>-2.1000000000000001E-2</v>
      </c>
      <c r="N70" s="182">
        <f t="shared" si="22"/>
        <v>-0.08</v>
      </c>
      <c r="O70" s="183">
        <f t="shared" si="23"/>
        <v>0</v>
      </c>
      <c r="P70" s="184">
        <f t="shared" si="24"/>
        <v>0</v>
      </c>
      <c r="Q70" s="184">
        <f t="shared" si="25"/>
        <v>-0.08</v>
      </c>
      <c r="R7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28630</v>
      </c>
      <c r="T7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70" s="186">
        <f ca="1">IF(Tabla33610673486[[#This Row],[Equity]]&lt;Tabla33610673486[[#This Row],[Equity Peak]],(Tabla33610673486[[#This Row],[Equity Peak]]-Tabla33610673486[[#This Row],[Equity]])/Tabla33610673486[[#This Row],[Equity Peak]],"")</f>
        <v>1.4796971782518927E-2</v>
      </c>
      <c r="V70" s="187">
        <f t="shared" si="26"/>
        <v>-0.08</v>
      </c>
      <c r="W70" s="187">
        <f t="shared" si="27"/>
        <v>0</v>
      </c>
      <c r="X70" s="187">
        <f t="shared" si="28"/>
        <v>0</v>
      </c>
      <c r="Y70" s="187">
        <f t="shared" si="29"/>
        <v>0</v>
      </c>
      <c r="Z70" s="187">
        <f t="shared" si="30"/>
        <v>0</v>
      </c>
      <c r="AA70" s="183">
        <f t="shared" si="31"/>
        <v>0</v>
      </c>
      <c r="AB70" s="187">
        <f t="shared" si="32"/>
        <v>0</v>
      </c>
      <c r="AC70" s="183">
        <f t="shared" si="33"/>
        <v>0</v>
      </c>
      <c r="AD70" s="188">
        <f t="shared" si="34"/>
        <v>0.25624999999854481</v>
      </c>
      <c r="AE70" s="188">
        <f t="shared" si="35"/>
        <v>0</v>
      </c>
      <c r="AF70" s="188">
        <f t="shared" si="36"/>
        <v>0.25624999999854481</v>
      </c>
      <c r="AG70" s="188">
        <f t="shared" si="37"/>
        <v>0</v>
      </c>
    </row>
    <row r="71" spans="2:33" ht="15" customHeight="1" x14ac:dyDescent="0.15">
      <c r="B71" s="174" t="s">
        <v>7</v>
      </c>
      <c r="C71" s="175" t="s">
        <v>15</v>
      </c>
      <c r="D71" s="176" t="str">
        <f t="shared" si="19"/>
        <v>C</v>
      </c>
      <c r="E71" s="177" t="d">
        <v>2021-07-12T17:45:00.00000020954757600</v>
      </c>
      <c r="F71" s="178" t="s">
        <v>102</v>
      </c>
      <c r="G71" s="179">
        <v>153.31299999999999</v>
      </c>
      <c r="H71" s="179">
        <v>152.976</v>
      </c>
      <c r="I71" s="180">
        <f t="shared" si="20"/>
        <v>0.33699999999998909</v>
      </c>
      <c r="J71" s="179">
        <v>155.113</v>
      </c>
      <c r="K71" s="177" t="d">
        <v>2021-07-13T10:05:59.99999970663339225</v>
      </c>
      <c r="L71" s="179">
        <v>153.09899999999999</v>
      </c>
      <c r="M71" s="181">
        <f t="shared" si="21"/>
        <v>-0.214</v>
      </c>
      <c r="N71" s="182">
        <f t="shared" si="22"/>
        <v>-0.64</v>
      </c>
      <c r="O71" s="183">
        <f t="shared" si="23"/>
        <v>0</v>
      </c>
      <c r="P71" s="184">
        <f t="shared" si="24"/>
        <v>0</v>
      </c>
      <c r="Q71" s="184">
        <f t="shared" si="25"/>
        <v>-0.64</v>
      </c>
      <c r="R7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28650</v>
      </c>
      <c r="T7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71" s="186">
        <f ca="1">IF(Tabla33610673486[[#This Row],[Equity]]&lt;Tabla33610673486[[#This Row],[Equity Peak]],(Tabla33610673486[[#This Row],[Equity Peak]]-Tabla33610673486[[#This Row],[Equity]])/Tabla33610673486[[#This Row],[Equity Peak]],"")</f>
        <v>1.4108740536820371E-2</v>
      </c>
      <c r="V71" s="187">
        <f t="shared" si="26"/>
        <v>-0.64</v>
      </c>
      <c r="W71" s="187">
        <f t="shared" si="27"/>
        <v>0</v>
      </c>
      <c r="X71" s="187">
        <f t="shared" si="28"/>
        <v>0</v>
      </c>
      <c r="Y71" s="187">
        <f t="shared" si="29"/>
        <v>0</v>
      </c>
      <c r="Z71" s="187">
        <f t="shared" si="30"/>
        <v>0</v>
      </c>
      <c r="AA71" s="183">
        <f t="shared" si="31"/>
        <v>0</v>
      </c>
      <c r="AB71" s="187">
        <f t="shared" si="32"/>
        <v>0</v>
      </c>
      <c r="AC71" s="183">
        <f t="shared" si="33"/>
        <v>0</v>
      </c>
      <c r="AD71" s="188">
        <f t="shared" si="34"/>
        <v>0.68124999999417923</v>
      </c>
      <c r="AE71" s="188">
        <f t="shared" si="35"/>
        <v>0</v>
      </c>
      <c r="AF71" s="188">
        <f t="shared" si="36"/>
        <v>0.68124999999417923</v>
      </c>
      <c r="AG71" s="188">
        <f t="shared" si="37"/>
        <v>0</v>
      </c>
    </row>
    <row r="72" spans="2:33" ht="15" customHeight="1" x14ac:dyDescent="0.15">
      <c r="B72" s="174" t="s">
        <v>7</v>
      </c>
      <c r="C72" s="175" t="s">
        <v>15</v>
      </c>
      <c r="D72" s="176" t="str">
        <f t="shared" si="19"/>
        <v>C</v>
      </c>
      <c r="E72" s="177" t="d">
        <v>2021-07-12T01:44:59.99999979045242400</v>
      </c>
      <c r="F72" s="178" t="s">
        <v>102</v>
      </c>
      <c r="G72" s="179">
        <v>153.18799999999999</v>
      </c>
      <c r="H72" s="179">
        <v>152.86000000000001</v>
      </c>
      <c r="I72" s="180">
        <f t="shared" si="20"/>
        <v>0.32799999999997453</v>
      </c>
      <c r="J72" s="179">
        <v>154.93799999999999</v>
      </c>
      <c r="K72" s="177" t="d">
        <v>2021-07-12T10:37:00.00000011175870900</v>
      </c>
      <c r="L72" s="179">
        <v>152.86000000000001</v>
      </c>
      <c r="M72" s="181">
        <f t="shared" si="21"/>
        <v>-0.32800000000000001</v>
      </c>
      <c r="N72" s="182">
        <f t="shared" si="22"/>
        <v>-1</v>
      </c>
      <c r="O72" s="183">
        <f t="shared" si="23"/>
        <v>0</v>
      </c>
      <c r="P72" s="184">
        <f t="shared" si="24"/>
        <v>0</v>
      </c>
      <c r="Q72" s="184">
        <f t="shared" si="25"/>
        <v>-1</v>
      </c>
      <c r="R7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28810</v>
      </c>
      <c r="T7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72" s="186">
        <f ca="1">IF(Tabla33610673486[[#This Row],[Equity]]&lt;Tabla33610673486[[#This Row],[Equity Peak]],(Tabla33610673486[[#This Row],[Equity Peak]]-Tabla33610673486[[#This Row],[Equity]])/Tabla33610673486[[#This Row],[Equity Peak]],"")</f>
        <v>8.6028905712319335E-3</v>
      </c>
      <c r="V72" s="187">
        <f t="shared" si="26"/>
        <v>-1</v>
      </c>
      <c r="W72" s="187">
        <f t="shared" si="27"/>
        <v>0</v>
      </c>
      <c r="X72" s="187">
        <f t="shared" si="28"/>
        <v>0</v>
      </c>
      <c r="Y72" s="187">
        <f t="shared" si="29"/>
        <v>0</v>
      </c>
      <c r="Z72" s="187">
        <f t="shared" si="30"/>
        <v>0</v>
      </c>
      <c r="AA72" s="183">
        <f t="shared" si="31"/>
        <v>0</v>
      </c>
      <c r="AB72" s="187">
        <f t="shared" si="32"/>
        <v>0</v>
      </c>
      <c r="AC72" s="183">
        <f t="shared" si="33"/>
        <v>0</v>
      </c>
      <c r="AD72" s="188">
        <f t="shared" si="34"/>
        <v>0.36944444444816327</v>
      </c>
      <c r="AE72" s="188">
        <f t="shared" si="35"/>
        <v>0</v>
      </c>
      <c r="AF72" s="188">
        <f t="shared" si="36"/>
        <v>0.36944444444816327</v>
      </c>
      <c r="AG72" s="188">
        <f t="shared" si="37"/>
        <v>0</v>
      </c>
    </row>
    <row r="73" spans="2:33" ht="15" customHeight="1" x14ac:dyDescent="0.15">
      <c r="B73" s="174" t="s">
        <v>7</v>
      </c>
      <c r="C73" s="175" t="s">
        <v>13</v>
      </c>
      <c r="D73" s="176" t="str">
        <f t="shared" si="19"/>
        <v>C</v>
      </c>
      <c r="E73" s="177" t="d">
        <v>2021-07-08T08:29:59.99999979045242400</v>
      </c>
      <c r="F73" s="178" t="s">
        <v>102</v>
      </c>
      <c r="G73" s="179">
        <v>152.16999999999999</v>
      </c>
      <c r="H73" s="179">
        <v>152.489</v>
      </c>
      <c r="I73" s="180">
        <f t="shared" si="20"/>
        <v>0.31900000000001683</v>
      </c>
      <c r="J73" s="179">
        <v>150.471</v>
      </c>
      <c r="K73" s="177" t="d">
        <v>2021-07-08T12:39:00.00000008381903175</v>
      </c>
      <c r="L73" s="179">
        <v>151.732</v>
      </c>
      <c r="M73" s="181">
        <f t="shared" si="21"/>
        <v>0.438</v>
      </c>
      <c r="N73" s="182">
        <f t="shared" si="22"/>
        <v>1.37</v>
      </c>
      <c r="O73" s="183">
        <f t="shared" si="23"/>
        <v>0</v>
      </c>
      <c r="P73" s="184">
        <f t="shared" si="24"/>
        <v>1.37</v>
      </c>
      <c r="Q73" s="184">
        <f t="shared" si="25"/>
        <v>0</v>
      </c>
      <c r="R7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29060</v>
      </c>
      <c r="T7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29060</v>
      </c>
      <c r="U73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73" s="187">
        <f t="shared" si="26"/>
        <v>1.37</v>
      </c>
      <c r="W73" s="187">
        <f t="shared" si="27"/>
        <v>0</v>
      </c>
      <c r="X73" s="187">
        <f t="shared" si="28"/>
        <v>0</v>
      </c>
      <c r="Y73" s="187">
        <f t="shared" si="29"/>
        <v>0</v>
      </c>
      <c r="Z73" s="187">
        <f t="shared" si="30"/>
        <v>0</v>
      </c>
      <c r="AA73" s="183">
        <f t="shared" si="31"/>
        <v>0</v>
      </c>
      <c r="AB73" s="187">
        <f t="shared" si="32"/>
        <v>0</v>
      </c>
      <c r="AC73" s="183">
        <f t="shared" si="33"/>
        <v>0</v>
      </c>
      <c r="AD73" s="188">
        <f t="shared" si="34"/>
        <v>0.17291666667006211</v>
      </c>
      <c r="AE73" s="188">
        <f t="shared" si="35"/>
        <v>0.17291666667006211</v>
      </c>
      <c r="AF73" s="188">
        <f t="shared" si="36"/>
        <v>0</v>
      </c>
      <c r="AG73" s="188">
        <f t="shared" si="37"/>
        <v>0</v>
      </c>
    </row>
    <row r="74" spans="2:33" ht="15" customHeight="1" x14ac:dyDescent="0.15">
      <c r="B74" s="174" t="s">
        <v>7</v>
      </c>
      <c r="C74" s="175" t="s">
        <v>13</v>
      </c>
      <c r="D74" s="176" t="str">
        <f t="shared" si="19"/>
        <v>C</v>
      </c>
      <c r="E74" s="177" t="d">
        <v>2021-07-06T17:15:00.000</v>
      </c>
      <c r="F74" s="178" t="s">
        <v>102</v>
      </c>
      <c r="G74" s="179">
        <v>152.89500000000001</v>
      </c>
      <c r="H74" s="179">
        <v>153.15899999999999</v>
      </c>
      <c r="I74" s="180">
        <f t="shared" si="20"/>
        <v>0.26399999999998158</v>
      </c>
      <c r="J74" s="179">
        <v>151.48699999999999</v>
      </c>
      <c r="K74" s="177" t="d">
        <v>2021-07-07T07:24:00.00000008381903175</v>
      </c>
      <c r="L74" s="179">
        <v>152.732</v>
      </c>
      <c r="M74" s="181">
        <f t="shared" si="21"/>
        <v>0.16300000000000001</v>
      </c>
      <c r="N74" s="182">
        <f t="shared" si="22"/>
        <v>0.62</v>
      </c>
      <c r="O74" s="183">
        <f t="shared" si="23"/>
        <v>0</v>
      </c>
      <c r="P74" s="184">
        <f t="shared" si="24"/>
        <v>0.62</v>
      </c>
      <c r="Q74" s="184">
        <f t="shared" si="25"/>
        <v>0</v>
      </c>
      <c r="R7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28717.5</v>
      </c>
      <c r="T7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28812.5</v>
      </c>
      <c r="U74" s="186">
        <f ca="1">IF(Tabla33610673486[[#This Row],[Equity]]&lt;Tabla33610673486[[#This Row],[Equity Peak]],(Tabla33610673486[[#This Row],[Equity Peak]]-Tabla33610673486[[#This Row],[Equity]])/Tabla33610673486[[#This Row],[Equity Peak]],"")</f>
        <v>3.2971800433839477E-3</v>
      </c>
      <c r="V74" s="187">
        <f t="shared" si="26"/>
        <v>0.62</v>
      </c>
      <c r="W74" s="187">
        <f t="shared" si="27"/>
        <v>0</v>
      </c>
      <c r="X74" s="187">
        <f t="shared" si="28"/>
        <v>0</v>
      </c>
      <c r="Y74" s="187">
        <f t="shared" si="29"/>
        <v>0</v>
      </c>
      <c r="Z74" s="187">
        <f t="shared" si="30"/>
        <v>0</v>
      </c>
      <c r="AA74" s="183">
        <f t="shared" si="31"/>
        <v>0</v>
      </c>
      <c r="AB74" s="187">
        <f t="shared" si="32"/>
        <v>0</v>
      </c>
      <c r="AC74" s="183">
        <f t="shared" si="33"/>
        <v>0</v>
      </c>
      <c r="AD74" s="188">
        <f t="shared" si="34"/>
        <v>0.58958333333430346</v>
      </c>
      <c r="AE74" s="188">
        <f t="shared" si="35"/>
        <v>0.58958333333430346</v>
      </c>
      <c r="AF74" s="188">
        <f t="shared" si="36"/>
        <v>0</v>
      </c>
      <c r="AG74" s="188">
        <f t="shared" si="37"/>
        <v>0</v>
      </c>
    </row>
    <row r="75" spans="2:33" ht="15" customHeight="1" x14ac:dyDescent="0.15">
      <c r="B75" s="174" t="s">
        <v>7</v>
      </c>
      <c r="C75" s="175" t="s">
        <v>15</v>
      </c>
      <c r="D75" s="176" t="str">
        <f t="shared" si="19"/>
        <v>C</v>
      </c>
      <c r="E75" s="177" t="d">
        <v>2021-07-06T09:59:59.99999979045242400</v>
      </c>
      <c r="F75" s="178" t="s">
        <v>102</v>
      </c>
      <c r="G75" s="179">
        <v>154.07599999999999</v>
      </c>
      <c r="H75" s="179">
        <v>153.86099999999999</v>
      </c>
      <c r="I75" s="180">
        <f t="shared" si="20"/>
        <v>0.21500000000000341</v>
      </c>
      <c r="J75" s="179">
        <v>155.22200000000001</v>
      </c>
      <c r="K75" s="177" t="d">
        <v>2021-07-06T10:37:00.00000011175870900</v>
      </c>
      <c r="L75" s="179">
        <v>153.86099999999999</v>
      </c>
      <c r="M75" s="181">
        <f t="shared" si="21"/>
        <v>-0.215</v>
      </c>
      <c r="N75" s="182">
        <f t="shared" si="22"/>
        <v>-1</v>
      </c>
      <c r="O75" s="183">
        <f t="shared" si="23"/>
        <v>0</v>
      </c>
      <c r="P75" s="184">
        <f t="shared" si="24"/>
        <v>0</v>
      </c>
      <c r="Q75" s="184">
        <f t="shared" si="25"/>
        <v>-1</v>
      </c>
      <c r="R7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28562.5</v>
      </c>
      <c r="T7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28812.5</v>
      </c>
      <c r="U75" s="186">
        <f ca="1">IF(Tabla33610673486[[#This Row],[Equity]]&lt;Tabla33610673486[[#This Row],[Equity Peak]],(Tabla33610673486[[#This Row],[Equity Peak]]-Tabla33610673486[[#This Row],[Equity]])/Tabla33610673486[[#This Row],[Equity Peak]],"")</f>
        <v>8.6767895878524948E-3</v>
      </c>
      <c r="V75" s="187">
        <f t="shared" si="26"/>
        <v>-1</v>
      </c>
      <c r="W75" s="187">
        <f t="shared" si="27"/>
        <v>0</v>
      </c>
      <c r="X75" s="187">
        <f t="shared" si="28"/>
        <v>0</v>
      </c>
      <c r="Y75" s="187">
        <f t="shared" si="29"/>
        <v>0</v>
      </c>
      <c r="Z75" s="187">
        <f t="shared" si="30"/>
        <v>0</v>
      </c>
      <c r="AA75" s="183">
        <f t="shared" si="31"/>
        <v>0</v>
      </c>
      <c r="AB75" s="187">
        <f t="shared" si="32"/>
        <v>0</v>
      </c>
      <c r="AC75" s="183">
        <f t="shared" si="33"/>
        <v>0</v>
      </c>
      <c r="AD75" s="188">
        <f t="shared" si="34"/>
        <v>2.5694444448163267E-2</v>
      </c>
      <c r="AE75" s="188">
        <f t="shared" si="35"/>
        <v>0</v>
      </c>
      <c r="AF75" s="188">
        <f t="shared" si="36"/>
        <v>2.5694444448163267E-2</v>
      </c>
      <c r="AG75" s="188">
        <f t="shared" si="37"/>
        <v>0</v>
      </c>
    </row>
    <row r="76" spans="2:33" ht="15" customHeight="1" x14ac:dyDescent="0.15">
      <c r="B76" s="174" t="s">
        <v>7</v>
      </c>
      <c r="C76" s="175" t="s">
        <v>13</v>
      </c>
      <c r="D76" s="176" t="str">
        <f t="shared" si="19"/>
        <v>C</v>
      </c>
      <c r="E76" s="177" t="d">
        <v>2021-06-28T18:30:00.00000020954757600</v>
      </c>
      <c r="F76" s="178" t="s">
        <v>102</v>
      </c>
      <c r="G76" s="179">
        <v>153.465</v>
      </c>
      <c r="H76" s="179">
        <v>153.78399999999999</v>
      </c>
      <c r="I76" s="180">
        <f t="shared" si="20"/>
        <v>0.3189999999999884</v>
      </c>
      <c r="J76" s="179">
        <v>151.76499999999999</v>
      </c>
      <c r="K76" s="177" t="d">
        <v>2021-06-29T22:48:59.99999994412064550</v>
      </c>
      <c r="L76" s="179">
        <v>153.12200000000001</v>
      </c>
      <c r="M76" s="181">
        <f t="shared" si="21"/>
        <v>0.34300000000000003</v>
      </c>
      <c r="N76" s="182">
        <f t="shared" si="22"/>
        <v>1.08</v>
      </c>
      <c r="O76" s="183">
        <f t="shared" si="23"/>
        <v>0</v>
      </c>
      <c r="P76" s="184">
        <f t="shared" si="24"/>
        <v>1.08</v>
      </c>
      <c r="Q76" s="184">
        <f t="shared" si="25"/>
        <v>0</v>
      </c>
      <c r="R7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28812.5</v>
      </c>
      <c r="T7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28812.5</v>
      </c>
      <c r="U76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76" s="187">
        <f t="shared" si="26"/>
        <v>1.08</v>
      </c>
      <c r="W76" s="187">
        <f t="shared" si="27"/>
        <v>0</v>
      </c>
      <c r="X76" s="187">
        <f t="shared" si="28"/>
        <v>0</v>
      </c>
      <c r="Y76" s="187">
        <f t="shared" si="29"/>
        <v>0</v>
      </c>
      <c r="Z76" s="187">
        <f t="shared" si="30"/>
        <v>0</v>
      </c>
      <c r="AA76" s="183">
        <f t="shared" si="31"/>
        <v>0</v>
      </c>
      <c r="AB76" s="187">
        <f t="shared" si="32"/>
        <v>0</v>
      </c>
      <c r="AC76" s="183">
        <f t="shared" si="33"/>
        <v>0</v>
      </c>
      <c r="AD76" s="188">
        <f t="shared" si="34"/>
        <v>1.179861111108039</v>
      </c>
      <c r="AE76" s="188">
        <f t="shared" si="35"/>
        <v>1.179861111108039</v>
      </c>
      <c r="AF76" s="188">
        <f t="shared" si="36"/>
        <v>0</v>
      </c>
      <c r="AG76" s="188">
        <f t="shared" si="37"/>
        <v>0</v>
      </c>
    </row>
    <row r="77" spans="2:33" ht="15" customHeight="1" x14ac:dyDescent="0.15">
      <c r="B77" s="174" t="s">
        <v>7</v>
      </c>
      <c r="C77" s="175" t="s">
        <v>15</v>
      </c>
      <c r="D77" s="176" t="str">
        <f t="shared" si="19"/>
        <v>C</v>
      </c>
      <c r="E77" s="177" t="d">
        <v>2021-06-22T20:00:00.00000020954757600</v>
      </c>
      <c r="F77" s="178" t="s">
        <v>102</v>
      </c>
      <c r="G77" s="179">
        <v>154.32300000000001</v>
      </c>
      <c r="H77" s="179">
        <v>153.99100000000001</v>
      </c>
      <c r="I77" s="180">
        <f t="shared" si="20"/>
        <v>0.33199999999999363</v>
      </c>
      <c r="J77" s="179">
        <v>156.095</v>
      </c>
      <c r="K77" s="177" t="d">
        <v>2021-06-23T14:36:59.99999990221113300</v>
      </c>
      <c r="L77" s="179">
        <v>154.68799999999999</v>
      </c>
      <c r="M77" s="181">
        <f t="shared" si="21"/>
        <v>0.36499999999999999</v>
      </c>
      <c r="N77" s="182">
        <f t="shared" si="22"/>
        <v>1.1000000000000001</v>
      </c>
      <c r="O77" s="183">
        <f t="shared" si="23"/>
        <v>0</v>
      </c>
      <c r="P77" s="184">
        <f t="shared" si="24"/>
        <v>1.1000000000000001</v>
      </c>
      <c r="Q77" s="184">
        <f t="shared" si="25"/>
        <v>0</v>
      </c>
      <c r="R7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28542.5</v>
      </c>
      <c r="T7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28542.5</v>
      </c>
      <c r="U77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77" s="187">
        <f t="shared" si="26"/>
        <v>1.1000000000000001</v>
      </c>
      <c r="W77" s="187">
        <f t="shared" si="27"/>
        <v>0</v>
      </c>
      <c r="X77" s="187">
        <f t="shared" si="28"/>
        <v>0</v>
      </c>
      <c r="Y77" s="187">
        <f t="shared" si="29"/>
        <v>0</v>
      </c>
      <c r="Z77" s="187">
        <f t="shared" si="30"/>
        <v>0</v>
      </c>
      <c r="AA77" s="183">
        <f t="shared" si="31"/>
        <v>0</v>
      </c>
      <c r="AB77" s="187">
        <f t="shared" si="32"/>
        <v>0</v>
      </c>
      <c r="AC77" s="183">
        <f t="shared" si="33"/>
        <v>0</v>
      </c>
      <c r="AD77" s="188">
        <f t="shared" si="34"/>
        <v>0.77569444444088731</v>
      </c>
      <c r="AE77" s="188">
        <f t="shared" si="35"/>
        <v>0.77569444444088731</v>
      </c>
      <c r="AF77" s="188">
        <f t="shared" si="36"/>
        <v>0</v>
      </c>
      <c r="AG77" s="188">
        <f t="shared" si="37"/>
        <v>0</v>
      </c>
    </row>
    <row r="78" spans="2:33" ht="15" customHeight="1" x14ac:dyDescent="0.15">
      <c r="B78" s="174" t="s">
        <v>7</v>
      </c>
      <c r="C78" s="175" t="s">
        <v>13</v>
      </c>
      <c r="D78" s="176" t="str">
        <f t="shared" si="19"/>
        <v>C</v>
      </c>
      <c r="E78" s="177" t="d">
        <v>2021-06-17T15:45:00.000</v>
      </c>
      <c r="F78" s="178" t="s">
        <v>102</v>
      </c>
      <c r="G78" s="179">
        <v>154.26900000000001</v>
      </c>
      <c r="H78" s="179">
        <v>154.55099999999999</v>
      </c>
      <c r="I78" s="180">
        <f t="shared" si="20"/>
        <v>0.28199999999998226</v>
      </c>
      <c r="J78" s="179">
        <v>152.76499999999999</v>
      </c>
      <c r="K78" s="177" t="d">
        <v>2021-06-17T21:39:00.00000008381903175</v>
      </c>
      <c r="L78" s="179">
        <v>153.58099999999999</v>
      </c>
      <c r="M78" s="181">
        <f t="shared" si="21"/>
        <v>0.68799999999999994</v>
      </c>
      <c r="N78" s="182">
        <f t="shared" si="22"/>
        <v>2.44</v>
      </c>
      <c r="O78" s="183">
        <f t="shared" si="23"/>
        <v>0</v>
      </c>
      <c r="P78" s="184">
        <f t="shared" si="24"/>
        <v>2.44</v>
      </c>
      <c r="Q78" s="184">
        <f t="shared" si="25"/>
        <v>0</v>
      </c>
      <c r="R7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28267.5</v>
      </c>
      <c r="T7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28267.5</v>
      </c>
      <c r="U78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78" s="187">
        <f t="shared" si="26"/>
        <v>2.44</v>
      </c>
      <c r="W78" s="187">
        <f t="shared" si="27"/>
        <v>0</v>
      </c>
      <c r="X78" s="187">
        <f t="shared" si="28"/>
        <v>0</v>
      </c>
      <c r="Y78" s="187">
        <f t="shared" si="29"/>
        <v>0</v>
      </c>
      <c r="Z78" s="187">
        <f t="shared" si="30"/>
        <v>0</v>
      </c>
      <c r="AA78" s="183">
        <f t="shared" si="31"/>
        <v>0</v>
      </c>
      <c r="AB78" s="187">
        <f t="shared" si="32"/>
        <v>0</v>
      </c>
      <c r="AC78" s="183">
        <f t="shared" si="33"/>
        <v>0</v>
      </c>
      <c r="AD78" s="188">
        <f t="shared" si="34"/>
        <v>0.24583333333430346</v>
      </c>
      <c r="AE78" s="188">
        <f t="shared" si="35"/>
        <v>0.24583333333430346</v>
      </c>
      <c r="AF78" s="188">
        <f t="shared" si="36"/>
        <v>0</v>
      </c>
      <c r="AG78" s="188">
        <f t="shared" si="37"/>
        <v>0</v>
      </c>
    </row>
    <row r="79" spans="2:33" ht="15" customHeight="1" x14ac:dyDescent="0.15">
      <c r="B79" s="174" t="s">
        <v>7</v>
      </c>
      <c r="C79" s="175" t="s">
        <v>15</v>
      </c>
      <c r="D79" s="176" t="str">
        <f t="shared" si="19"/>
        <v>C</v>
      </c>
      <c r="E79" s="177" t="d">
        <v>2021-06-14T17:45:00.00000020954757600</v>
      </c>
      <c r="F79" s="178" t="s">
        <v>102</v>
      </c>
      <c r="G79" s="179">
        <v>155.24199999999999</v>
      </c>
      <c r="H79" s="179">
        <v>155.005</v>
      </c>
      <c r="I79" s="180">
        <f t="shared" si="20"/>
        <v>0.23699999999999477</v>
      </c>
      <c r="J79" s="179">
        <v>156.50700000000001</v>
      </c>
      <c r="K79" s="177" t="d">
        <v>2021-06-15T11:48:59.999999734573066125</v>
      </c>
      <c r="L79" s="179">
        <v>155.18700000000001</v>
      </c>
      <c r="M79" s="181">
        <f t="shared" si="21"/>
        <v>-5.5E-2</v>
      </c>
      <c r="N79" s="182">
        <f t="shared" si="22"/>
        <v>-0.23</v>
      </c>
      <c r="O79" s="183">
        <f t="shared" si="23"/>
        <v>0</v>
      </c>
      <c r="P79" s="184">
        <f t="shared" si="24"/>
        <v>0</v>
      </c>
      <c r="Q79" s="184">
        <f t="shared" si="25"/>
        <v>-0.23</v>
      </c>
      <c r="R7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7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27657.5</v>
      </c>
      <c r="T7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28247.5</v>
      </c>
      <c r="U79" s="186">
        <f ca="1">IF(Tabla33610673486[[#This Row],[Equity]]&lt;Tabla33610673486[[#This Row],[Equity Peak]],(Tabla33610673486[[#This Row],[Equity Peak]]-Tabla33610673486[[#This Row],[Equity]])/Tabla33610673486[[#This Row],[Equity Peak]],"")</f>
        <v>2.0886804141959467E-2</v>
      </c>
      <c r="V79" s="187">
        <f t="shared" si="26"/>
        <v>-0.23</v>
      </c>
      <c r="W79" s="187">
        <f t="shared" si="27"/>
        <v>0</v>
      </c>
      <c r="X79" s="187">
        <f t="shared" si="28"/>
        <v>0</v>
      </c>
      <c r="Y79" s="187">
        <f t="shared" si="29"/>
        <v>0</v>
      </c>
      <c r="Z79" s="187">
        <f t="shared" si="30"/>
        <v>0</v>
      </c>
      <c r="AA79" s="183">
        <f t="shared" si="31"/>
        <v>0</v>
      </c>
      <c r="AB79" s="187">
        <f t="shared" si="32"/>
        <v>0</v>
      </c>
      <c r="AC79" s="183">
        <f t="shared" si="33"/>
        <v>0</v>
      </c>
      <c r="AD79" s="188">
        <f t="shared" si="34"/>
        <v>0.75277777777228039</v>
      </c>
      <c r="AE79" s="188">
        <f t="shared" si="35"/>
        <v>0</v>
      </c>
      <c r="AF79" s="188">
        <f t="shared" si="36"/>
        <v>0.75277777777228039</v>
      </c>
      <c r="AG79" s="188">
        <f t="shared" si="37"/>
        <v>0</v>
      </c>
    </row>
    <row r="80" spans="2:33" ht="15" customHeight="1" x14ac:dyDescent="0.15">
      <c r="B80" s="174" t="s">
        <v>7</v>
      </c>
      <c r="C80" s="175" t="s">
        <v>13</v>
      </c>
      <c r="D80" s="176" t="str">
        <f t="shared" si="19"/>
        <v>C</v>
      </c>
      <c r="E80" s="177" t="d">
        <v>2021-06-10T10:15:00.00000020954757600</v>
      </c>
      <c r="F80" s="178" t="s">
        <v>102</v>
      </c>
      <c r="G80" s="179">
        <v>154.268</v>
      </c>
      <c r="H80" s="179">
        <v>154.46700000000001</v>
      </c>
      <c r="I80" s="180">
        <f t="shared" si="20"/>
        <v>0.19900000000001228</v>
      </c>
      <c r="J80" s="179">
        <v>153.20500000000001</v>
      </c>
      <c r="K80" s="177" t="d">
        <v>2021-06-10T14:39:00.00000029336660775</v>
      </c>
      <c r="L80" s="179">
        <v>154.46700000000001</v>
      </c>
      <c r="M80" s="181">
        <f t="shared" si="21"/>
        <v>-0.19900000000000001</v>
      </c>
      <c r="N80" s="182">
        <f t="shared" si="22"/>
        <v>-1</v>
      </c>
      <c r="O80" s="183">
        <f t="shared" si="23"/>
        <v>0</v>
      </c>
      <c r="P80" s="184">
        <f t="shared" si="24"/>
        <v>0</v>
      </c>
      <c r="Q80" s="184">
        <f t="shared" si="25"/>
        <v>-1</v>
      </c>
      <c r="R8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27715</v>
      </c>
      <c r="T8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28247.5</v>
      </c>
      <c r="U80" s="186">
        <f ca="1">IF(Tabla33610673486[[#This Row],[Equity]]&lt;Tabla33610673486[[#This Row],[Equity Peak]],(Tabla33610673486[[#This Row],[Equity Peak]]-Tabla33610673486[[#This Row],[Equity]])/Tabla33610673486[[#This Row],[Equity Peak]],"")</f>
        <v>1.885122577219223E-2</v>
      </c>
      <c r="V80" s="187">
        <f t="shared" si="26"/>
        <v>-1</v>
      </c>
      <c r="W80" s="187">
        <f t="shared" si="27"/>
        <v>0</v>
      </c>
      <c r="X80" s="187">
        <f t="shared" si="28"/>
        <v>0</v>
      </c>
      <c r="Y80" s="187">
        <f t="shared" si="29"/>
        <v>0</v>
      </c>
      <c r="Z80" s="187">
        <f t="shared" si="30"/>
        <v>0</v>
      </c>
      <c r="AA80" s="183">
        <f t="shared" si="31"/>
        <v>0</v>
      </c>
      <c r="AB80" s="187">
        <f t="shared" si="32"/>
        <v>0</v>
      </c>
      <c r="AC80" s="183">
        <f t="shared" si="33"/>
        <v>0</v>
      </c>
      <c r="AD80" s="188">
        <f t="shared" si="34"/>
        <v>0.18333333333430346</v>
      </c>
      <c r="AE80" s="188">
        <f t="shared" si="35"/>
        <v>0</v>
      </c>
      <c r="AF80" s="188">
        <f t="shared" si="36"/>
        <v>0.18333333333430346</v>
      </c>
      <c r="AG80" s="188">
        <f t="shared" si="37"/>
        <v>0</v>
      </c>
    </row>
    <row r="81" spans="2:33" ht="15" customHeight="1" x14ac:dyDescent="0.15">
      <c r="B81" s="174" t="s">
        <v>7</v>
      </c>
      <c r="C81" s="175" t="s">
        <v>13</v>
      </c>
      <c r="D81" s="176" t="str">
        <f t="shared" ref="D81:D112" si="38">IF(E81&lt;&gt;"",IF(K81&lt;&gt;"","C","O"),"")</f>
        <v>C</v>
      </c>
      <c r="E81" s="177" t="d">
        <v>2021-06-07T07:44:59.99999979045242400</v>
      </c>
      <c r="F81" s="178" t="s">
        <v>102</v>
      </c>
      <c r="G81" s="179">
        <v>154.809</v>
      </c>
      <c r="H81" s="179">
        <v>155.04300000000001</v>
      </c>
      <c r="I81" s="180">
        <f t="shared" ref="I81:I112" si="39">ABS(G81-H81)</f>
        <v>0.23400000000000887</v>
      </c>
      <c r="J81" s="179">
        <v>153.55799999999999</v>
      </c>
      <c r="K81" s="177" t="d">
        <v>2021-06-07T14:06:00.00000012572854425</v>
      </c>
      <c r="L81" s="179">
        <v>154.88800000000001</v>
      </c>
      <c r="M81" s="181">
        <f t="shared" ref="M81:M112" si="40">ROUND(IF(C81="L",(L81-G81),(G81-L81)),4)</f>
        <v>-7.9000000000000001E-2</v>
      </c>
      <c r="N81" s="182">
        <f t="shared" ref="N81:N112" si="41">IFERROR(ROUND((M81/I81),2),"")</f>
        <v>-0.34</v>
      </c>
      <c r="O81" s="183">
        <f t="shared" ref="O81:O112" si="42">IF(D81="O",IF(N81&lt;0,N81,0),0)</f>
        <v>0</v>
      </c>
      <c r="P81" s="184">
        <f t="shared" ref="P81:P112" si="43">IF(N81&gt;= 0,N81,0)</f>
        <v>0</v>
      </c>
      <c r="Q81" s="184">
        <f t="shared" ref="Q81:Q112" si="44">IF(N81&lt;0,N81,0)</f>
        <v>-0.34</v>
      </c>
      <c r="R8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27965</v>
      </c>
      <c r="T8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28247.5</v>
      </c>
      <c r="U81" s="186">
        <f ca="1">IF(Tabla33610673486[[#This Row],[Equity]]&lt;Tabla33610673486[[#This Row],[Equity Peak]],(Tabla33610673486[[#This Row],[Equity Peak]]-Tabla33610673486[[#This Row],[Equity]])/Tabla33610673486[[#This Row],[Equity Peak]],"")</f>
        <v>1.0000885034073813E-2</v>
      </c>
      <c r="V81" s="187">
        <f t="shared" ref="V81:V112" si="45">IF(B81="FX",N81,0)</f>
        <v>-0.34</v>
      </c>
      <c r="W81" s="187">
        <f t="shared" ref="W81:W112" si="46">IF(D81="O",IF(V81&lt;0,V81,0),0)</f>
        <v>0</v>
      </c>
      <c r="X81" s="187">
        <f t="shared" ref="X81:X112" si="47">IF(B81="COM",N81,0)</f>
        <v>0</v>
      </c>
      <c r="Y81" s="187">
        <f t="shared" ref="Y81:Y112" si="48">IF(D81="O",IF(X81&lt;0,X81,0),0)</f>
        <v>0</v>
      </c>
      <c r="Z81" s="187">
        <f t="shared" ref="Z81:Z112" si="49">IF(B81="IND",N81,0)</f>
        <v>0</v>
      </c>
      <c r="AA81" s="183">
        <f t="shared" ref="AA81:AA112" si="50">IF(D81="O",IF(Z81&lt;0,Z81,0),0)</f>
        <v>0</v>
      </c>
      <c r="AB81" s="187">
        <f t="shared" ref="AB81:AB112" si="51">IF(B81="CRYPTO",N81,0)</f>
        <v>0</v>
      </c>
      <c r="AC81" s="183">
        <f t="shared" ref="AC81:AC112" si="52">IF(D81="O",IF(AB81&lt;0,AB81,0),0)</f>
        <v>0</v>
      </c>
      <c r="AD81" s="188">
        <f t="shared" ref="AD81:AD112" si="53">IF(K81&lt;&gt;"",K81-E81,0)</f>
        <v>0.26458333333721384</v>
      </c>
      <c r="AE81" s="188">
        <f t="shared" ref="AE81:AE112" si="54">IF(N81&gt;0,AD81,0)</f>
        <v>0</v>
      </c>
      <c r="AF81" s="188">
        <f t="shared" ref="AF81:AF112" si="55">IF(N81&lt;0,AD81,0)</f>
        <v>0.26458333333721384</v>
      </c>
      <c r="AG81" s="188">
        <f t="shared" ref="AG81:AG112" si="56">IF(N81=0,AD81,0)</f>
        <v>0</v>
      </c>
    </row>
    <row r="82" spans="2:33" ht="15" customHeight="1" x14ac:dyDescent="0.15">
      <c r="B82" s="174" t="s">
        <v>7</v>
      </c>
      <c r="C82" s="175" t="s">
        <v>13</v>
      </c>
      <c r="D82" s="176" t="str">
        <f t="shared" si="38"/>
        <v>C</v>
      </c>
      <c r="E82" s="177" t="d">
        <v>2021-06-01T20:15:00.000</v>
      </c>
      <c r="F82" s="178" t="s">
        <v>102</v>
      </c>
      <c r="G82" s="179">
        <v>154.964</v>
      </c>
      <c r="H82" s="179">
        <v>155.22</v>
      </c>
      <c r="I82" s="180">
        <f t="shared" si="39"/>
        <v>0.25600000000000023</v>
      </c>
      <c r="J82" s="179">
        <v>153.6</v>
      </c>
      <c r="K82" s="177" t="d">
        <v>2021-06-02T03:33:00.00000016763806350</v>
      </c>
      <c r="L82" s="179">
        <v>155.166</v>
      </c>
      <c r="M82" s="181">
        <f t="shared" si="40"/>
        <v>-0.20200000000000001</v>
      </c>
      <c r="N82" s="182">
        <f t="shared" si="41"/>
        <v>-0.79</v>
      </c>
      <c r="O82" s="183">
        <f t="shared" si="42"/>
        <v>0</v>
      </c>
      <c r="P82" s="184">
        <f t="shared" si="43"/>
        <v>0</v>
      </c>
      <c r="Q82" s="184">
        <f t="shared" si="44"/>
        <v>-0.79</v>
      </c>
      <c r="R8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28050</v>
      </c>
      <c r="T8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28247.5</v>
      </c>
      <c r="U82" s="186">
        <f ca="1">IF(Tabla33610673486[[#This Row],[Equity]]&lt;Tabla33610673486[[#This Row],[Equity Peak]],(Tabla33610673486[[#This Row],[Equity Peak]]-Tabla33610673486[[#This Row],[Equity]])/Tabla33610673486[[#This Row],[Equity Peak]],"")</f>
        <v>6.9917691831135496E-3</v>
      </c>
      <c r="V82" s="187">
        <f t="shared" si="45"/>
        <v>-0.79</v>
      </c>
      <c r="W82" s="187">
        <f t="shared" si="46"/>
        <v>0</v>
      </c>
      <c r="X82" s="187">
        <f t="shared" si="47"/>
        <v>0</v>
      </c>
      <c r="Y82" s="187">
        <f t="shared" si="48"/>
        <v>0</v>
      </c>
      <c r="Z82" s="187">
        <f t="shared" si="49"/>
        <v>0</v>
      </c>
      <c r="AA82" s="183">
        <f t="shared" si="50"/>
        <v>0</v>
      </c>
      <c r="AB82" s="187">
        <f t="shared" si="51"/>
        <v>0</v>
      </c>
      <c r="AC82" s="183">
        <f t="shared" si="52"/>
        <v>0</v>
      </c>
      <c r="AD82" s="188">
        <f t="shared" si="53"/>
        <v>0.30416666666860692</v>
      </c>
      <c r="AE82" s="188">
        <f t="shared" si="54"/>
        <v>0</v>
      </c>
      <c r="AF82" s="188">
        <f t="shared" si="55"/>
        <v>0.30416666666860692</v>
      </c>
      <c r="AG82" s="188">
        <f t="shared" si="56"/>
        <v>0</v>
      </c>
    </row>
    <row r="83" spans="2:33" ht="15" customHeight="1" x14ac:dyDescent="0.15">
      <c r="B83" s="174" t="s">
        <v>7</v>
      </c>
      <c r="C83" s="175" t="s">
        <v>15</v>
      </c>
      <c r="D83" s="176" t="str">
        <f t="shared" si="38"/>
        <v>C</v>
      </c>
      <c r="E83" s="177" t="d">
        <v>2021-05-27T14:15:00.000</v>
      </c>
      <c r="F83" s="178" t="s">
        <v>102</v>
      </c>
      <c r="G83" s="179">
        <v>154.62799999999999</v>
      </c>
      <c r="H83" s="179">
        <v>154.364</v>
      </c>
      <c r="I83" s="180">
        <f t="shared" si="39"/>
        <v>0.26399999999998158</v>
      </c>
      <c r="J83" s="179">
        <v>156.03700000000001</v>
      </c>
      <c r="K83" s="177" t="d">
        <v>2021-05-27T20:54:00.00000008381903175</v>
      </c>
      <c r="L83" s="179">
        <v>156.03700000000001</v>
      </c>
      <c r="M83" s="181">
        <f t="shared" si="40"/>
        <v>1.409</v>
      </c>
      <c r="N83" s="182">
        <f t="shared" si="41"/>
        <v>5.34</v>
      </c>
      <c r="O83" s="183">
        <f t="shared" si="42"/>
        <v>0</v>
      </c>
      <c r="P83" s="184">
        <f t="shared" si="43"/>
        <v>5.34</v>
      </c>
      <c r="Q83" s="184">
        <f t="shared" si="44"/>
        <v>0</v>
      </c>
      <c r="R8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28247.5</v>
      </c>
      <c r="T8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28247.5</v>
      </c>
      <c r="U83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83" s="187">
        <f t="shared" si="45"/>
        <v>5.34</v>
      </c>
      <c r="W83" s="187">
        <f t="shared" si="46"/>
        <v>0</v>
      </c>
      <c r="X83" s="187">
        <f t="shared" si="47"/>
        <v>0</v>
      </c>
      <c r="Y83" s="187">
        <f t="shared" si="48"/>
        <v>0</v>
      </c>
      <c r="Z83" s="187">
        <f t="shared" si="49"/>
        <v>0</v>
      </c>
      <c r="AA83" s="183">
        <f t="shared" si="50"/>
        <v>0</v>
      </c>
      <c r="AB83" s="187">
        <f t="shared" si="51"/>
        <v>0</v>
      </c>
      <c r="AC83" s="183">
        <f t="shared" si="52"/>
        <v>0</v>
      </c>
      <c r="AD83" s="188">
        <f t="shared" si="53"/>
        <v>0.27708333333430346</v>
      </c>
      <c r="AE83" s="188">
        <f t="shared" si="54"/>
        <v>0.27708333333430346</v>
      </c>
      <c r="AF83" s="188">
        <f t="shared" si="55"/>
        <v>0</v>
      </c>
      <c r="AG83" s="188">
        <f t="shared" si="56"/>
        <v>0</v>
      </c>
    </row>
    <row r="84" spans="2:33" ht="15" customHeight="1" x14ac:dyDescent="0.15">
      <c r="B84" s="174" t="s">
        <v>7</v>
      </c>
      <c r="C84" s="175" t="s">
        <v>13</v>
      </c>
      <c r="D84" s="176" t="str">
        <f t="shared" si="38"/>
        <v>C</v>
      </c>
      <c r="E84" s="177" t="d">
        <v>2021-05-19T17:45:00.00000020954757600</v>
      </c>
      <c r="F84" s="178" t="s">
        <v>102</v>
      </c>
      <c r="G84" s="179">
        <v>153.643</v>
      </c>
      <c r="H84" s="179">
        <v>153.94900000000001</v>
      </c>
      <c r="I84" s="180">
        <f t="shared" si="39"/>
        <v>0.3060000000000116</v>
      </c>
      <c r="J84" s="179">
        <v>152.01</v>
      </c>
      <c r="K84" s="177" t="d">
        <v>2021-05-19T18:24:00.00000029336660775</v>
      </c>
      <c r="L84" s="179">
        <v>153.94900000000001</v>
      </c>
      <c r="M84" s="181">
        <f t="shared" si="40"/>
        <v>-0.30599999999999999</v>
      </c>
      <c r="N84" s="182">
        <f t="shared" si="41"/>
        <v>-1</v>
      </c>
      <c r="O84" s="183">
        <f t="shared" si="42"/>
        <v>0</v>
      </c>
      <c r="P84" s="184">
        <f t="shared" si="43"/>
        <v>0</v>
      </c>
      <c r="Q84" s="184">
        <f t="shared" si="44"/>
        <v>-1</v>
      </c>
      <c r="R8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26912.5</v>
      </c>
      <c r="T8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27240</v>
      </c>
      <c r="U84" s="186">
        <f ca="1">IF(Tabla33610673486[[#This Row],[Equity]]&lt;Tabla33610673486[[#This Row],[Equity Peak]],(Tabla33610673486[[#This Row],[Equity Peak]]-Tabla33610673486[[#This Row],[Equity]])/Tabla33610673486[[#This Row],[Equity Peak]],"")</f>
        <v>1.2022760646108663E-2</v>
      </c>
      <c r="V84" s="187">
        <f t="shared" si="45"/>
        <v>-1</v>
      </c>
      <c r="W84" s="187">
        <f t="shared" si="46"/>
        <v>0</v>
      </c>
      <c r="X84" s="187">
        <f t="shared" si="47"/>
        <v>0</v>
      </c>
      <c r="Y84" s="187">
        <f t="shared" si="48"/>
        <v>0</v>
      </c>
      <c r="Z84" s="187">
        <f t="shared" si="49"/>
        <v>0</v>
      </c>
      <c r="AA84" s="183">
        <f t="shared" si="50"/>
        <v>0</v>
      </c>
      <c r="AB84" s="187">
        <f t="shared" si="51"/>
        <v>0</v>
      </c>
      <c r="AC84" s="183">
        <f t="shared" si="52"/>
        <v>0</v>
      </c>
      <c r="AD84" s="188">
        <f t="shared" si="53"/>
        <v>2.7083333334303461E-2</v>
      </c>
      <c r="AE84" s="188">
        <f t="shared" si="54"/>
        <v>0</v>
      </c>
      <c r="AF84" s="188">
        <f t="shared" si="55"/>
        <v>2.7083333334303461E-2</v>
      </c>
      <c r="AG84" s="188">
        <f t="shared" si="56"/>
        <v>0</v>
      </c>
    </row>
    <row r="85" spans="2:33" ht="15" customHeight="1" x14ac:dyDescent="0.15">
      <c r="B85" s="174" t="s">
        <v>7</v>
      </c>
      <c r="C85" s="175" t="s">
        <v>15</v>
      </c>
      <c r="D85" s="176" t="str">
        <f t="shared" si="38"/>
        <v>C</v>
      </c>
      <c r="E85" s="177" t="d">
        <v>2021-05-17T21:59:59.99999979045242400</v>
      </c>
      <c r="F85" s="178" t="s">
        <v>102</v>
      </c>
      <c r="G85" s="179">
        <v>154.43899999999999</v>
      </c>
      <c r="H85" s="179">
        <v>154.17099999999999</v>
      </c>
      <c r="I85" s="180">
        <f t="shared" si="39"/>
        <v>0.26800000000000068</v>
      </c>
      <c r="J85" s="179">
        <v>155.86600000000001</v>
      </c>
      <c r="K85" s="177" t="d">
        <v>2021-05-18T21:36:59.99999969266355025</v>
      </c>
      <c r="L85" s="179">
        <v>154.494</v>
      </c>
      <c r="M85" s="181">
        <f t="shared" si="40"/>
        <v>5.5E-2</v>
      </c>
      <c r="N85" s="182">
        <f t="shared" si="41"/>
        <v>0.21</v>
      </c>
      <c r="O85" s="183">
        <f t="shared" si="42"/>
        <v>0</v>
      </c>
      <c r="P85" s="184">
        <f t="shared" si="43"/>
        <v>0.21</v>
      </c>
      <c r="Q85" s="184">
        <f t="shared" si="44"/>
        <v>0</v>
      </c>
      <c r="R8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27162.5</v>
      </c>
      <c r="T8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27240</v>
      </c>
      <c r="U85" s="186">
        <f ca="1">IF(Tabla33610673486[[#This Row],[Equity]]&lt;Tabla33610673486[[#This Row],[Equity Peak]],(Tabla33610673486[[#This Row],[Equity Peak]]-Tabla33610673486[[#This Row],[Equity]])/Tabla33610673486[[#This Row],[Equity Peak]],"")</f>
        <v>2.8450807635829662E-3</v>
      </c>
      <c r="V85" s="187">
        <f t="shared" si="45"/>
        <v>0.21</v>
      </c>
      <c r="W85" s="187">
        <f t="shared" si="46"/>
        <v>0</v>
      </c>
      <c r="X85" s="187">
        <f t="shared" si="47"/>
        <v>0</v>
      </c>
      <c r="Y85" s="187">
        <f t="shared" si="48"/>
        <v>0</v>
      </c>
      <c r="Z85" s="187">
        <f t="shared" si="49"/>
        <v>0</v>
      </c>
      <c r="AA85" s="183">
        <f t="shared" si="50"/>
        <v>0</v>
      </c>
      <c r="AB85" s="187">
        <f t="shared" si="51"/>
        <v>0</v>
      </c>
      <c r="AC85" s="183">
        <f t="shared" si="52"/>
        <v>0</v>
      </c>
      <c r="AD85" s="188">
        <f t="shared" si="53"/>
        <v>0.98402777777664596</v>
      </c>
      <c r="AE85" s="188">
        <f t="shared" si="54"/>
        <v>0.98402777777664596</v>
      </c>
      <c r="AF85" s="188">
        <f t="shared" si="55"/>
        <v>0</v>
      </c>
      <c r="AG85" s="188">
        <f t="shared" si="56"/>
        <v>0</v>
      </c>
    </row>
    <row r="86" spans="2:33" ht="15" customHeight="1" x14ac:dyDescent="0.15">
      <c r="B86" s="174" t="s">
        <v>7</v>
      </c>
      <c r="C86" s="175" t="s">
        <v>15</v>
      </c>
      <c r="D86" s="176" t="str">
        <f t="shared" si="38"/>
        <v>C</v>
      </c>
      <c r="E86" s="177" t="d">
        <v>2021-05-12T15:45:00.000</v>
      </c>
      <c r="F86" s="178" t="s">
        <v>102</v>
      </c>
      <c r="G86" s="179">
        <v>154.09700000000001</v>
      </c>
      <c r="H86" s="179">
        <v>153.77500000000001</v>
      </c>
      <c r="I86" s="180">
        <f t="shared" si="39"/>
        <v>0.32200000000000273</v>
      </c>
      <c r="J86" s="179">
        <v>155.816</v>
      </c>
      <c r="K86" s="177" t="d">
        <v>2021-05-13T09:47:59.9999999580904875</v>
      </c>
      <c r="L86" s="179">
        <v>153.928</v>
      </c>
      <c r="M86" s="181">
        <f t="shared" si="40"/>
        <v>-0.16900000000000001</v>
      </c>
      <c r="N86" s="182">
        <f t="shared" si="41"/>
        <v>-0.52</v>
      </c>
      <c r="O86" s="183">
        <f t="shared" si="42"/>
        <v>0</v>
      </c>
      <c r="P86" s="184">
        <f t="shared" si="43"/>
        <v>0</v>
      </c>
      <c r="Q86" s="184">
        <f t="shared" si="44"/>
        <v>-0.52</v>
      </c>
      <c r="R8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27110</v>
      </c>
      <c r="T8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27240</v>
      </c>
      <c r="U86" s="186">
        <f ca="1">IF(Tabla33610673486[[#This Row],[Equity]]&lt;Tabla33610673486[[#This Row],[Equity Peak]],(Tabla33610673486[[#This Row],[Equity Peak]]-Tabla33610673486[[#This Row],[Equity]])/Tabla33610673486[[#This Row],[Equity Peak]],"")</f>
        <v>4.7723935389133625E-3</v>
      </c>
      <c r="V86" s="187">
        <f t="shared" si="45"/>
        <v>-0.52</v>
      </c>
      <c r="W86" s="187">
        <f t="shared" si="46"/>
        <v>0</v>
      </c>
      <c r="X86" s="187">
        <f t="shared" si="47"/>
        <v>0</v>
      </c>
      <c r="Y86" s="187">
        <f t="shared" si="48"/>
        <v>0</v>
      </c>
      <c r="Z86" s="187">
        <f t="shared" si="49"/>
        <v>0</v>
      </c>
      <c r="AA86" s="183">
        <f t="shared" si="50"/>
        <v>0</v>
      </c>
      <c r="AB86" s="187">
        <f t="shared" si="51"/>
        <v>0</v>
      </c>
      <c r="AC86" s="183">
        <f t="shared" si="52"/>
        <v>0</v>
      </c>
      <c r="AD86" s="188">
        <f t="shared" si="53"/>
        <v>0.75208333333284827</v>
      </c>
      <c r="AE86" s="188">
        <f t="shared" si="54"/>
        <v>0</v>
      </c>
      <c r="AF86" s="188">
        <f t="shared" si="55"/>
        <v>0.75208333333284827</v>
      </c>
      <c r="AG86" s="188">
        <f t="shared" si="56"/>
        <v>0</v>
      </c>
    </row>
    <row r="87" spans="2:33" ht="15" customHeight="1" x14ac:dyDescent="0.15">
      <c r="B87" s="174" t="s">
        <v>7</v>
      </c>
      <c r="C87" s="175" t="s">
        <v>15</v>
      </c>
      <c r="D87" s="176" t="str">
        <f t="shared" si="38"/>
        <v>C</v>
      </c>
      <c r="E87" s="177" t="d">
        <v>2021-05-10T01:44:59.99999979045242400</v>
      </c>
      <c r="F87" s="178" t="s">
        <v>102</v>
      </c>
      <c r="G87" s="179">
        <v>152.27699999999999</v>
      </c>
      <c r="H87" s="179">
        <v>151.99</v>
      </c>
      <c r="I87" s="180">
        <f t="shared" si="39"/>
        <v>0.28699999999997772</v>
      </c>
      <c r="J87" s="179">
        <v>153.81</v>
      </c>
      <c r="K87" s="177" t="d">
        <v>2021-05-10T15:53:59.99999987427145575</v>
      </c>
      <c r="L87" s="179">
        <v>153.81</v>
      </c>
      <c r="M87" s="181">
        <f t="shared" si="40"/>
        <v>1.5329999999999999</v>
      </c>
      <c r="N87" s="182">
        <f t="shared" si="41"/>
        <v>5.34</v>
      </c>
      <c r="O87" s="183">
        <f t="shared" si="42"/>
        <v>0</v>
      </c>
      <c r="P87" s="184">
        <f t="shared" si="43"/>
        <v>5.34</v>
      </c>
      <c r="Q87" s="184">
        <f t="shared" si="44"/>
        <v>0</v>
      </c>
      <c r="R8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27240</v>
      </c>
      <c r="T8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27240</v>
      </c>
      <c r="U87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87" s="187">
        <f t="shared" si="45"/>
        <v>5.34</v>
      </c>
      <c r="W87" s="187">
        <f t="shared" si="46"/>
        <v>0</v>
      </c>
      <c r="X87" s="187">
        <f t="shared" si="47"/>
        <v>0</v>
      </c>
      <c r="Y87" s="187">
        <f t="shared" si="48"/>
        <v>0</v>
      </c>
      <c r="Z87" s="187">
        <f t="shared" si="49"/>
        <v>0</v>
      </c>
      <c r="AA87" s="183">
        <f t="shared" si="50"/>
        <v>0</v>
      </c>
      <c r="AB87" s="187">
        <f t="shared" si="51"/>
        <v>0</v>
      </c>
      <c r="AC87" s="183">
        <f t="shared" si="52"/>
        <v>0</v>
      </c>
      <c r="AD87" s="188">
        <f t="shared" si="53"/>
        <v>0.58958333333430346</v>
      </c>
      <c r="AE87" s="188">
        <f t="shared" si="54"/>
        <v>0.58958333333430346</v>
      </c>
      <c r="AF87" s="188">
        <f t="shared" si="55"/>
        <v>0</v>
      </c>
      <c r="AG87" s="188">
        <f t="shared" si="56"/>
        <v>0</v>
      </c>
    </row>
    <row r="88" spans="2:33" ht="15" customHeight="1" x14ac:dyDescent="0.15">
      <c r="B88" s="174" t="s">
        <v>7</v>
      </c>
      <c r="C88" s="175" t="s">
        <v>15</v>
      </c>
      <c r="D88" s="176" t="str">
        <f t="shared" si="38"/>
        <v>C</v>
      </c>
      <c r="E88" s="177" t="d">
        <v>2021-05-05T09:59:59.99999979045242400</v>
      </c>
      <c r="F88" s="178" t="s">
        <v>102</v>
      </c>
      <c r="G88" s="179">
        <v>152.19900000000001</v>
      </c>
      <c r="H88" s="179">
        <v>151.92099999999999</v>
      </c>
      <c r="I88" s="180">
        <f t="shared" si="39"/>
        <v>0.27800000000002001</v>
      </c>
      <c r="J88" s="179">
        <v>153.68</v>
      </c>
      <c r="K88" s="177" t="d">
        <v>2021-05-05T10:54:00.00000029336660775</v>
      </c>
      <c r="L88" s="179">
        <v>151.92099999999999</v>
      </c>
      <c r="M88" s="181">
        <f t="shared" si="40"/>
        <v>-0.27800000000000002</v>
      </c>
      <c r="N88" s="182">
        <f t="shared" si="41"/>
        <v>-1</v>
      </c>
      <c r="O88" s="183">
        <f t="shared" si="42"/>
        <v>0</v>
      </c>
      <c r="P88" s="184">
        <f t="shared" si="43"/>
        <v>0</v>
      </c>
      <c r="Q88" s="184">
        <f t="shared" si="44"/>
        <v>-1</v>
      </c>
      <c r="R8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25905</v>
      </c>
      <c r="T8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26392.5</v>
      </c>
      <c r="U88" s="186">
        <f ca="1">IF(Tabla33610673486[[#This Row],[Equity]]&lt;Tabla33610673486[[#This Row],[Equity Peak]],(Tabla33610673486[[#This Row],[Equity Peak]]-Tabla33610673486[[#This Row],[Equity]])/Tabla33610673486[[#This Row],[Equity Peak]],"")</f>
        <v>1.8471156578573459E-2</v>
      </c>
      <c r="V88" s="187">
        <f t="shared" si="45"/>
        <v>-1</v>
      </c>
      <c r="W88" s="187">
        <f t="shared" si="46"/>
        <v>0</v>
      </c>
      <c r="X88" s="187">
        <f t="shared" si="47"/>
        <v>0</v>
      </c>
      <c r="Y88" s="187">
        <f t="shared" si="48"/>
        <v>0</v>
      </c>
      <c r="Z88" s="187">
        <f t="shared" si="49"/>
        <v>0</v>
      </c>
      <c r="AA88" s="183">
        <f t="shared" si="50"/>
        <v>0</v>
      </c>
      <c r="AB88" s="187">
        <f t="shared" si="51"/>
        <v>0</v>
      </c>
      <c r="AC88" s="183">
        <f t="shared" si="52"/>
        <v>0</v>
      </c>
      <c r="AD88" s="188">
        <f t="shared" si="53"/>
        <v>3.7500000005820766E-2</v>
      </c>
      <c r="AE88" s="188">
        <f t="shared" si="54"/>
        <v>0</v>
      </c>
      <c r="AF88" s="188">
        <f t="shared" si="55"/>
        <v>3.7500000005820766E-2</v>
      </c>
      <c r="AG88" s="188">
        <f t="shared" si="56"/>
        <v>0</v>
      </c>
    </row>
    <row r="89" spans="2:33" ht="15" customHeight="1" x14ac:dyDescent="0.15">
      <c r="B89" s="174" t="s">
        <v>7</v>
      </c>
      <c r="C89" s="175" t="s">
        <v>13</v>
      </c>
      <c r="D89" s="176" t="str">
        <f t="shared" si="38"/>
        <v>C</v>
      </c>
      <c r="E89" s="177" t="d">
        <v>2021-05-03T00:24:59.99999986030161375</v>
      </c>
      <c r="F89" s="178" t="s">
        <v>102</v>
      </c>
      <c r="G89" s="179">
        <v>150.90799999999999</v>
      </c>
      <c r="H89" s="179">
        <v>151.209</v>
      </c>
      <c r="I89" s="180">
        <f t="shared" si="39"/>
        <v>0.30100000000001614</v>
      </c>
      <c r="J89" s="179">
        <v>149.30199999999999</v>
      </c>
      <c r="K89" s="177" t="d">
        <v>2021-05-03T03:18:59.99999994412064550</v>
      </c>
      <c r="L89" s="179">
        <v>151.19499999999999</v>
      </c>
      <c r="M89" s="181">
        <f t="shared" si="40"/>
        <v>-0.28699999999999998</v>
      </c>
      <c r="N89" s="182">
        <f t="shared" si="41"/>
        <v>-0.95</v>
      </c>
      <c r="O89" s="183">
        <f t="shared" si="42"/>
        <v>0</v>
      </c>
      <c r="P89" s="184">
        <f t="shared" si="43"/>
        <v>0</v>
      </c>
      <c r="Q89" s="184">
        <f t="shared" si="44"/>
        <v>-0.95</v>
      </c>
      <c r="R8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8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26155</v>
      </c>
      <c r="T8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26392.5</v>
      </c>
      <c r="U89" s="186">
        <f ca="1">IF(Tabla33610673486[[#This Row],[Equity]]&lt;Tabla33610673486[[#This Row],[Equity Peak]],(Tabla33610673486[[#This Row],[Equity Peak]]-Tabla33610673486[[#This Row],[Equity]])/Tabla33610673486[[#This Row],[Equity Peak]],"")</f>
        <v>8.9987685895614282E-3</v>
      </c>
      <c r="V89" s="187">
        <f t="shared" si="45"/>
        <v>-0.95</v>
      </c>
      <c r="W89" s="187">
        <f t="shared" si="46"/>
        <v>0</v>
      </c>
      <c r="X89" s="187">
        <f t="shared" si="47"/>
        <v>0</v>
      </c>
      <c r="Y89" s="187">
        <f t="shared" si="48"/>
        <v>0</v>
      </c>
      <c r="Z89" s="187">
        <f t="shared" si="49"/>
        <v>0</v>
      </c>
      <c r="AA89" s="183">
        <f t="shared" si="50"/>
        <v>0</v>
      </c>
      <c r="AB89" s="187">
        <f t="shared" si="51"/>
        <v>0</v>
      </c>
      <c r="AC89" s="183">
        <f t="shared" si="52"/>
        <v>0</v>
      </c>
      <c r="AD89" s="188">
        <f t="shared" si="53"/>
        <v>0.12083333333430346</v>
      </c>
      <c r="AE89" s="188">
        <f t="shared" si="54"/>
        <v>0</v>
      </c>
      <c r="AF89" s="188">
        <f t="shared" si="55"/>
        <v>0.12083333333430346</v>
      </c>
      <c r="AG89" s="188">
        <f t="shared" si="56"/>
        <v>0</v>
      </c>
    </row>
    <row r="90" spans="2:33" ht="15" customHeight="1" x14ac:dyDescent="0.15">
      <c r="B90" s="174" t="s">
        <v>7</v>
      </c>
      <c r="C90" s="175" t="s">
        <v>15</v>
      </c>
      <c r="D90" s="176" t="str">
        <f t="shared" si="38"/>
        <v>C</v>
      </c>
      <c r="E90" s="177" t="d">
        <v>2021-04-27T13:30:00.000</v>
      </c>
      <c r="F90" s="178" t="s">
        <v>102</v>
      </c>
      <c r="G90" s="179">
        <v>150.53700000000001</v>
      </c>
      <c r="H90" s="179">
        <v>150.24799999999999</v>
      </c>
      <c r="I90" s="180">
        <f t="shared" si="39"/>
        <v>0.28900000000001569</v>
      </c>
      <c r="J90" s="179">
        <v>152.08099999999999</v>
      </c>
      <c r="K90" s="177" t="d">
        <v>2021-04-29T10:44:59.99999979045242400</v>
      </c>
      <c r="L90" s="179">
        <v>152.08099999999999</v>
      </c>
      <c r="M90" s="181">
        <f t="shared" si="40"/>
        <v>1.544</v>
      </c>
      <c r="N90" s="182">
        <f t="shared" si="41"/>
        <v>5.34</v>
      </c>
      <c r="O90" s="183">
        <f t="shared" si="42"/>
        <v>0</v>
      </c>
      <c r="P90" s="184">
        <f t="shared" si="43"/>
        <v>5.34</v>
      </c>
      <c r="Q90" s="184">
        <f t="shared" si="44"/>
        <v>0</v>
      </c>
      <c r="R9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26392.5</v>
      </c>
      <c r="T9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26392.5</v>
      </c>
      <c r="U90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90" s="187">
        <f t="shared" si="45"/>
        <v>5.34</v>
      </c>
      <c r="W90" s="187">
        <f t="shared" si="46"/>
        <v>0</v>
      </c>
      <c r="X90" s="187">
        <f t="shared" si="47"/>
        <v>0</v>
      </c>
      <c r="Y90" s="187">
        <f t="shared" si="48"/>
        <v>0</v>
      </c>
      <c r="Z90" s="187">
        <f t="shared" si="49"/>
        <v>0</v>
      </c>
      <c r="AA90" s="183">
        <f t="shared" si="50"/>
        <v>0</v>
      </c>
      <c r="AB90" s="187">
        <f t="shared" si="51"/>
        <v>0</v>
      </c>
      <c r="AC90" s="183">
        <f t="shared" si="52"/>
        <v>0</v>
      </c>
      <c r="AD90" s="188">
        <f t="shared" si="53"/>
        <v>1.8854166666642413</v>
      </c>
      <c r="AE90" s="188">
        <f t="shared" si="54"/>
        <v>1.8854166666642413</v>
      </c>
      <c r="AF90" s="188">
        <f t="shared" si="55"/>
        <v>0</v>
      </c>
      <c r="AG90" s="188">
        <f t="shared" si="56"/>
        <v>0</v>
      </c>
    </row>
    <row r="91" spans="2:33" ht="15" customHeight="1" x14ac:dyDescent="0.15">
      <c r="B91" s="174" t="s">
        <v>7</v>
      </c>
      <c r="C91" s="175" t="s">
        <v>13</v>
      </c>
      <c r="D91" s="176" t="str">
        <f t="shared" si="38"/>
        <v>C</v>
      </c>
      <c r="E91" s="177" t="d">
        <v>2021-04-23T16:30:00.000</v>
      </c>
      <c r="F91" s="178" t="s">
        <v>102</v>
      </c>
      <c r="G91" s="179">
        <v>149.077</v>
      </c>
      <c r="H91" s="179">
        <v>149.40600000000001</v>
      </c>
      <c r="I91" s="180">
        <f t="shared" si="39"/>
        <v>0.32900000000000773</v>
      </c>
      <c r="J91" s="179">
        <v>147.32</v>
      </c>
      <c r="K91" s="177" t="d">
        <v>2021-04-23T16:54:00.00000029336660775</v>
      </c>
      <c r="L91" s="179">
        <v>149.40600000000001</v>
      </c>
      <c r="M91" s="181">
        <f t="shared" si="40"/>
        <v>-0.32900000000000001</v>
      </c>
      <c r="N91" s="182">
        <f t="shared" si="41"/>
        <v>-1</v>
      </c>
      <c r="O91" s="183">
        <f t="shared" si="42"/>
        <v>0</v>
      </c>
      <c r="P91" s="184">
        <f t="shared" si="43"/>
        <v>0</v>
      </c>
      <c r="Q91" s="184">
        <f t="shared" si="44"/>
        <v>-1</v>
      </c>
      <c r="R9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25057.5</v>
      </c>
      <c r="T9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25637.5</v>
      </c>
      <c r="U91" s="186">
        <f ca="1">IF(Tabla33610673486[[#This Row],[Equity]]&lt;Tabla33610673486[[#This Row],[Equity Peak]],(Tabla33610673486[[#This Row],[Equity Peak]]-Tabla33610673486[[#This Row],[Equity]])/Tabla33610673486[[#This Row],[Equity Peak]],"")</f>
        <v>2.2623110677718185E-2</v>
      </c>
      <c r="V91" s="187">
        <f t="shared" si="45"/>
        <v>-1</v>
      </c>
      <c r="W91" s="187">
        <f t="shared" si="46"/>
        <v>0</v>
      </c>
      <c r="X91" s="187">
        <f t="shared" si="47"/>
        <v>0</v>
      </c>
      <c r="Y91" s="187">
        <f t="shared" si="48"/>
        <v>0</v>
      </c>
      <c r="Z91" s="187">
        <f t="shared" si="49"/>
        <v>0</v>
      </c>
      <c r="AA91" s="183">
        <f t="shared" si="50"/>
        <v>0</v>
      </c>
      <c r="AB91" s="187">
        <f t="shared" si="51"/>
        <v>0</v>
      </c>
      <c r="AC91" s="183">
        <f t="shared" si="52"/>
        <v>0</v>
      </c>
      <c r="AD91" s="188">
        <f t="shared" si="53"/>
        <v>1.6666666670062114E-2</v>
      </c>
      <c r="AE91" s="188">
        <f t="shared" si="54"/>
        <v>0</v>
      </c>
      <c r="AF91" s="188">
        <f t="shared" si="55"/>
        <v>1.6666666670062114E-2</v>
      </c>
      <c r="AG91" s="188">
        <f t="shared" si="56"/>
        <v>0</v>
      </c>
    </row>
    <row r="92" spans="2:33" ht="15" customHeight="1" x14ac:dyDescent="0.15">
      <c r="B92" s="174" t="s">
        <v>7</v>
      </c>
      <c r="C92" s="175" t="s">
        <v>13</v>
      </c>
      <c r="D92" s="176" t="str">
        <f t="shared" si="38"/>
        <v>C</v>
      </c>
      <c r="E92" s="177" t="d">
        <v>2021-04-23T00:24:59.99999986030161375</v>
      </c>
      <c r="F92" s="178" t="s">
        <v>102</v>
      </c>
      <c r="G92" s="179">
        <v>149.398</v>
      </c>
      <c r="H92" s="179">
        <v>149.667</v>
      </c>
      <c r="I92" s="180">
        <f t="shared" si="39"/>
        <v>0.26900000000000546</v>
      </c>
      <c r="J92" s="179">
        <v>147.96600000000001</v>
      </c>
      <c r="K92" s="177" t="d">
        <v>2021-04-23T06:08:59.99999987427145575</v>
      </c>
      <c r="L92" s="179">
        <v>149.667</v>
      </c>
      <c r="M92" s="181">
        <f t="shared" si="40"/>
        <v>-0.26900000000000002</v>
      </c>
      <c r="N92" s="182">
        <f t="shared" si="41"/>
        <v>-1</v>
      </c>
      <c r="O92" s="183">
        <f t="shared" si="42"/>
        <v>0</v>
      </c>
      <c r="P92" s="184">
        <f t="shared" si="43"/>
        <v>0</v>
      </c>
      <c r="Q92" s="184">
        <f t="shared" si="44"/>
        <v>-1</v>
      </c>
      <c r="R9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25307.5</v>
      </c>
      <c r="T9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25637.5</v>
      </c>
      <c r="U92" s="186">
        <f ca="1">IF(Tabla33610673486[[#This Row],[Equity]]&lt;Tabla33610673486[[#This Row],[Equity Peak]],(Tabla33610673486[[#This Row],[Equity Peak]]-Tabla33610673486[[#This Row],[Equity]])/Tabla33610673486[[#This Row],[Equity Peak]],"")</f>
        <v>1.2871769868356898E-2</v>
      </c>
      <c r="V92" s="187">
        <f t="shared" si="45"/>
        <v>-1</v>
      </c>
      <c r="W92" s="187">
        <f t="shared" si="46"/>
        <v>0</v>
      </c>
      <c r="X92" s="187">
        <f t="shared" si="47"/>
        <v>0</v>
      </c>
      <c r="Y92" s="187">
        <f t="shared" si="48"/>
        <v>0</v>
      </c>
      <c r="Z92" s="187">
        <f t="shared" si="49"/>
        <v>0</v>
      </c>
      <c r="AA92" s="183">
        <f t="shared" si="50"/>
        <v>0</v>
      </c>
      <c r="AB92" s="187">
        <f t="shared" si="51"/>
        <v>0</v>
      </c>
      <c r="AC92" s="183">
        <f t="shared" si="52"/>
        <v>0</v>
      </c>
      <c r="AD92" s="188">
        <f t="shared" si="53"/>
        <v>0.23888888888905058</v>
      </c>
      <c r="AE92" s="188">
        <f t="shared" si="54"/>
        <v>0</v>
      </c>
      <c r="AF92" s="188">
        <f t="shared" si="55"/>
        <v>0.23888888888905058</v>
      </c>
      <c r="AG92" s="188">
        <f t="shared" si="56"/>
        <v>0</v>
      </c>
    </row>
    <row r="93" spans="2:33" ht="15" customHeight="1" x14ac:dyDescent="0.15">
      <c r="B93" s="174" t="s">
        <v>7</v>
      </c>
      <c r="C93" s="175" t="s">
        <v>13</v>
      </c>
      <c r="D93" s="176" t="str">
        <f t="shared" si="38"/>
        <v>C</v>
      </c>
      <c r="E93" s="177" t="d">
        <v>2021-04-22T16:30:00.000</v>
      </c>
      <c r="F93" s="178" t="s">
        <v>102</v>
      </c>
      <c r="G93" s="179">
        <v>149.79900000000001</v>
      </c>
      <c r="H93" s="179">
        <v>150.08799999999999</v>
      </c>
      <c r="I93" s="180">
        <f t="shared" si="39"/>
        <v>0.28899999999998727</v>
      </c>
      <c r="J93" s="179">
        <v>148.25899999999999</v>
      </c>
      <c r="K93" s="177" t="d">
        <v>2021-04-22T19:37:00.00000011175870900</v>
      </c>
      <c r="L93" s="179">
        <v>149.89099999999999</v>
      </c>
      <c r="M93" s="181">
        <f t="shared" si="40"/>
        <v>-9.1999999999999998E-2</v>
      </c>
      <c r="N93" s="182">
        <f t="shared" si="41"/>
        <v>-0.32</v>
      </c>
      <c r="O93" s="183">
        <f t="shared" si="42"/>
        <v>0</v>
      </c>
      <c r="P93" s="184">
        <f t="shared" si="43"/>
        <v>0</v>
      </c>
      <c r="Q93" s="184">
        <f t="shared" si="44"/>
        <v>-0.32</v>
      </c>
      <c r="R9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25557.5</v>
      </c>
      <c r="T9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25637.5</v>
      </c>
      <c r="U93" s="186">
        <f ca="1">IF(Tabla33610673486[[#This Row],[Equity]]&lt;Tabla33610673486[[#This Row],[Equity Peak]],(Tabla33610673486[[#This Row],[Equity Peak]]-Tabla33610673486[[#This Row],[Equity]])/Tabla33610673486[[#This Row],[Equity Peak]],"")</f>
        <v>3.1204290589956119E-3</v>
      </c>
      <c r="V93" s="187">
        <f t="shared" si="45"/>
        <v>-0.32</v>
      </c>
      <c r="W93" s="187">
        <f t="shared" si="46"/>
        <v>0</v>
      </c>
      <c r="X93" s="187">
        <f t="shared" si="47"/>
        <v>0</v>
      </c>
      <c r="Y93" s="187">
        <f t="shared" si="48"/>
        <v>0</v>
      </c>
      <c r="Z93" s="187">
        <f t="shared" si="49"/>
        <v>0</v>
      </c>
      <c r="AA93" s="183">
        <f t="shared" si="50"/>
        <v>0</v>
      </c>
      <c r="AB93" s="187">
        <f t="shared" si="51"/>
        <v>0</v>
      </c>
      <c r="AC93" s="183">
        <f t="shared" si="52"/>
        <v>0</v>
      </c>
      <c r="AD93" s="188">
        <f t="shared" si="53"/>
        <v>0.12986111111240461</v>
      </c>
      <c r="AE93" s="188">
        <f t="shared" si="54"/>
        <v>0</v>
      </c>
      <c r="AF93" s="188">
        <f t="shared" si="55"/>
        <v>0.12986111111240461</v>
      </c>
      <c r="AG93" s="188">
        <f t="shared" si="56"/>
        <v>0</v>
      </c>
    </row>
    <row r="94" spans="2:33" ht="15" customHeight="1" x14ac:dyDescent="0.15">
      <c r="B94" s="174" t="s">
        <v>7</v>
      </c>
      <c r="C94" s="175" t="s">
        <v>15</v>
      </c>
      <c r="D94" s="176" t="str">
        <f t="shared" si="38"/>
        <v>C</v>
      </c>
      <c r="E94" s="177" t="d">
        <v>2021-04-19T15:14:59.99999979045242400</v>
      </c>
      <c r="F94" s="178" t="s">
        <v>102</v>
      </c>
      <c r="G94" s="179">
        <v>150.649</v>
      </c>
      <c r="H94" s="179">
        <v>150.315</v>
      </c>
      <c r="I94" s="180">
        <f t="shared" si="39"/>
        <v>0.33400000000000318</v>
      </c>
      <c r="J94" s="179">
        <v>152.43100000000001</v>
      </c>
      <c r="K94" s="177" t="d">
        <v>2021-04-20T13:09:59.99999986030161375</v>
      </c>
      <c r="L94" s="179">
        <v>151.476</v>
      </c>
      <c r="M94" s="181">
        <f t="shared" si="40"/>
        <v>0.82699999999999996</v>
      </c>
      <c r="N94" s="182">
        <f t="shared" si="41"/>
        <v>2.48</v>
      </c>
      <c r="O94" s="183">
        <f t="shared" si="42"/>
        <v>0</v>
      </c>
      <c r="P94" s="184">
        <f t="shared" si="43"/>
        <v>2.48</v>
      </c>
      <c r="Q94" s="184">
        <f t="shared" si="44"/>
        <v>0</v>
      </c>
      <c r="R9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25637.5</v>
      </c>
      <c r="T9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25637.5</v>
      </c>
      <c r="U94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94" s="187">
        <f t="shared" si="45"/>
        <v>2.48</v>
      </c>
      <c r="W94" s="187">
        <f t="shared" si="46"/>
        <v>0</v>
      </c>
      <c r="X94" s="187">
        <f t="shared" si="47"/>
        <v>0</v>
      </c>
      <c r="Y94" s="187">
        <f t="shared" si="48"/>
        <v>0</v>
      </c>
      <c r="Z94" s="187">
        <f t="shared" si="49"/>
        <v>0</v>
      </c>
      <c r="AA94" s="183">
        <f t="shared" si="50"/>
        <v>0</v>
      </c>
      <c r="AB94" s="187">
        <f t="shared" si="51"/>
        <v>0</v>
      </c>
      <c r="AC94" s="183">
        <f t="shared" si="52"/>
        <v>0</v>
      </c>
      <c r="AD94" s="188">
        <f t="shared" si="53"/>
        <v>0.91319444444525288</v>
      </c>
      <c r="AE94" s="188">
        <f t="shared" si="54"/>
        <v>0.91319444444525288</v>
      </c>
      <c r="AF94" s="188">
        <f t="shared" si="55"/>
        <v>0</v>
      </c>
      <c r="AG94" s="188">
        <f t="shared" si="56"/>
        <v>0</v>
      </c>
    </row>
    <row r="95" spans="2:33" ht="15" customHeight="1" x14ac:dyDescent="0.15">
      <c r="B95" s="174" t="s">
        <v>7</v>
      </c>
      <c r="C95" s="175" t="s">
        <v>15</v>
      </c>
      <c r="D95" s="176" t="str">
        <f t="shared" si="38"/>
        <v>C</v>
      </c>
      <c r="E95" s="177" t="d">
        <v>2021-04-16T21:00:00.000</v>
      </c>
      <c r="F95" s="178" t="s">
        <v>102</v>
      </c>
      <c r="G95" s="179">
        <v>150.48500000000001</v>
      </c>
      <c r="H95" s="179">
        <v>150.21899999999999</v>
      </c>
      <c r="I95" s="180">
        <f t="shared" si="39"/>
        <v>0.26600000000001955</v>
      </c>
      <c r="J95" s="179">
        <v>151.90299999999999</v>
      </c>
      <c r="K95" s="177" t="d">
        <v>2021-04-19T00:52:00.00000011175870900</v>
      </c>
      <c r="L95" s="179">
        <v>150.24299999999999</v>
      </c>
      <c r="M95" s="181">
        <f t="shared" si="40"/>
        <v>-0.24199999999999999</v>
      </c>
      <c r="N95" s="182">
        <f t="shared" si="41"/>
        <v>-0.91</v>
      </c>
      <c r="O95" s="183">
        <f t="shared" si="42"/>
        <v>0</v>
      </c>
      <c r="P95" s="184">
        <f t="shared" si="43"/>
        <v>0</v>
      </c>
      <c r="Q95" s="184">
        <f t="shared" si="44"/>
        <v>-0.91</v>
      </c>
      <c r="R9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25017.5</v>
      </c>
      <c r="T9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25495</v>
      </c>
      <c r="U95" s="186">
        <f ca="1">IF(Tabla33610673486[[#This Row],[Equity]]&lt;Tabla33610673486[[#This Row],[Equity Peak]],(Tabla33610673486[[#This Row],[Equity Peak]]-Tabla33610673486[[#This Row],[Equity]])/Tabla33610673486[[#This Row],[Equity Peak]],"")</f>
        <v>1.8729162580898216E-2</v>
      </c>
      <c r="V95" s="187">
        <f t="shared" si="45"/>
        <v>-0.91</v>
      </c>
      <c r="W95" s="187">
        <f t="shared" si="46"/>
        <v>0</v>
      </c>
      <c r="X95" s="187">
        <f t="shared" si="47"/>
        <v>0</v>
      </c>
      <c r="Y95" s="187">
        <f t="shared" si="48"/>
        <v>0</v>
      </c>
      <c r="Z95" s="187">
        <f t="shared" si="49"/>
        <v>0</v>
      </c>
      <c r="AA95" s="183">
        <f t="shared" si="50"/>
        <v>0</v>
      </c>
      <c r="AB95" s="187">
        <f t="shared" si="51"/>
        <v>0</v>
      </c>
      <c r="AC95" s="183">
        <f t="shared" si="52"/>
        <v>0</v>
      </c>
      <c r="AD95" s="188">
        <f t="shared" si="53"/>
        <v>2.1611111111124046</v>
      </c>
      <c r="AE95" s="188">
        <f t="shared" si="54"/>
        <v>0</v>
      </c>
      <c r="AF95" s="188">
        <f t="shared" si="55"/>
        <v>2.1611111111124046</v>
      </c>
      <c r="AG95" s="188">
        <f t="shared" si="56"/>
        <v>0</v>
      </c>
    </row>
    <row r="96" spans="2:33" ht="15" customHeight="1" x14ac:dyDescent="0.15">
      <c r="B96" s="174" t="s">
        <v>7</v>
      </c>
      <c r="C96" s="175" t="s">
        <v>13</v>
      </c>
      <c r="D96" s="176" t="str">
        <f t="shared" si="38"/>
        <v>C</v>
      </c>
      <c r="E96" s="177" t="d">
        <v>2021-04-16T09:59:59.99999979045242400</v>
      </c>
      <c r="F96" s="178" t="s">
        <v>102</v>
      </c>
      <c r="G96" s="179">
        <v>149.44499999999999</v>
      </c>
      <c r="H96" s="179">
        <v>149.70599999999999</v>
      </c>
      <c r="I96" s="180">
        <f t="shared" si="39"/>
        <v>0.26099999999999568</v>
      </c>
      <c r="J96" s="179">
        <v>148.05199999999999</v>
      </c>
      <c r="K96" s="177" t="d">
        <v>2021-04-16T10:37:00.00000011175870900</v>
      </c>
      <c r="L96" s="179">
        <v>149.70599999999999</v>
      </c>
      <c r="M96" s="181">
        <f t="shared" si="40"/>
        <v>-0.26100000000000001</v>
      </c>
      <c r="N96" s="182">
        <f t="shared" si="41"/>
        <v>-1</v>
      </c>
      <c r="O96" s="183">
        <f t="shared" si="42"/>
        <v>0</v>
      </c>
      <c r="P96" s="184">
        <f t="shared" si="43"/>
        <v>0</v>
      </c>
      <c r="Q96" s="184">
        <f t="shared" si="44"/>
        <v>-1</v>
      </c>
      <c r="R9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25245</v>
      </c>
      <c r="T9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25495</v>
      </c>
      <c r="U96" s="186">
        <f ca="1">IF(Tabla33610673486[[#This Row],[Equity]]&lt;Tabla33610673486[[#This Row],[Equity Peak]],(Tabla33610673486[[#This Row],[Equity Peak]]-Tabla33610673486[[#This Row],[Equity]])/Tabla33610673486[[#This Row],[Equity Peak]],"")</f>
        <v>9.8058442831927828E-3</v>
      </c>
      <c r="V96" s="187">
        <f t="shared" si="45"/>
        <v>-1</v>
      </c>
      <c r="W96" s="187">
        <f t="shared" si="46"/>
        <v>0</v>
      </c>
      <c r="X96" s="187">
        <f t="shared" si="47"/>
        <v>0</v>
      </c>
      <c r="Y96" s="187">
        <f t="shared" si="48"/>
        <v>0</v>
      </c>
      <c r="Z96" s="187">
        <f t="shared" si="49"/>
        <v>0</v>
      </c>
      <c r="AA96" s="183">
        <f t="shared" si="50"/>
        <v>0</v>
      </c>
      <c r="AB96" s="187">
        <f t="shared" si="51"/>
        <v>0</v>
      </c>
      <c r="AC96" s="183">
        <f t="shared" si="52"/>
        <v>0</v>
      </c>
      <c r="AD96" s="188">
        <f t="shared" si="53"/>
        <v>2.5694444448163267E-2</v>
      </c>
      <c r="AE96" s="188">
        <f t="shared" si="54"/>
        <v>0</v>
      </c>
      <c r="AF96" s="188">
        <f t="shared" si="55"/>
        <v>2.5694444448163267E-2</v>
      </c>
      <c r="AG96" s="188">
        <f t="shared" si="56"/>
        <v>0</v>
      </c>
    </row>
    <row r="97" spans="2:33" ht="15" customHeight="1" x14ac:dyDescent="0.15">
      <c r="B97" s="174" t="s">
        <v>7</v>
      </c>
      <c r="C97" s="175" t="s">
        <v>13</v>
      </c>
      <c r="D97" s="176" t="str">
        <f t="shared" si="38"/>
        <v>C</v>
      </c>
      <c r="E97" s="177" t="d">
        <v>2021-04-07T16:15:00.00000020954757600</v>
      </c>
      <c r="F97" s="178" t="s">
        <v>102</v>
      </c>
      <c r="G97" s="179">
        <v>151.10499999999999</v>
      </c>
      <c r="H97" s="179">
        <v>151.46600000000001</v>
      </c>
      <c r="I97" s="180">
        <f t="shared" si="39"/>
        <v>0.36100000000001842</v>
      </c>
      <c r="J97" s="179">
        <v>149.18</v>
      </c>
      <c r="K97" s="177" t="d">
        <v>2021-04-09T10:48:59.99999994412064550</v>
      </c>
      <c r="L97" s="179">
        <v>150.04499999999999</v>
      </c>
      <c r="M97" s="181">
        <f t="shared" si="40"/>
        <v>1.06</v>
      </c>
      <c r="N97" s="182">
        <f t="shared" si="41"/>
        <v>2.94</v>
      </c>
      <c r="O97" s="183">
        <f t="shared" si="42"/>
        <v>0</v>
      </c>
      <c r="P97" s="184">
        <f t="shared" si="43"/>
        <v>2.94</v>
      </c>
      <c r="Q97" s="184">
        <f t="shared" si="44"/>
        <v>0</v>
      </c>
      <c r="R9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25495</v>
      </c>
      <c r="T9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25495</v>
      </c>
      <c r="U97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97" s="187">
        <f t="shared" si="45"/>
        <v>2.94</v>
      </c>
      <c r="W97" s="187">
        <f t="shared" si="46"/>
        <v>0</v>
      </c>
      <c r="X97" s="187">
        <f t="shared" si="47"/>
        <v>0</v>
      </c>
      <c r="Y97" s="187">
        <f t="shared" si="48"/>
        <v>0</v>
      </c>
      <c r="Z97" s="187">
        <f t="shared" si="49"/>
        <v>0</v>
      </c>
      <c r="AA97" s="183">
        <f t="shared" si="50"/>
        <v>0</v>
      </c>
      <c r="AB97" s="187">
        <f t="shared" si="51"/>
        <v>0</v>
      </c>
      <c r="AC97" s="183">
        <f t="shared" si="52"/>
        <v>0</v>
      </c>
      <c r="AD97" s="188">
        <f t="shared" si="53"/>
        <v>1.773611111108039</v>
      </c>
      <c r="AE97" s="188">
        <f t="shared" si="54"/>
        <v>1.773611111108039</v>
      </c>
      <c r="AF97" s="188">
        <f t="shared" si="55"/>
        <v>0</v>
      </c>
      <c r="AG97" s="188">
        <f t="shared" si="56"/>
        <v>0</v>
      </c>
    </row>
    <row r="98" spans="2:33" ht="15" customHeight="1" x14ac:dyDescent="0.15">
      <c r="B98" s="174" t="s">
        <v>7</v>
      </c>
      <c r="C98" s="175" t="s">
        <v>13</v>
      </c>
      <c r="D98" s="176" t="str">
        <f t="shared" si="38"/>
        <v>C</v>
      </c>
      <c r="E98" s="177" t="d">
        <v>2021-04-06T15:45:00.000</v>
      </c>
      <c r="F98" s="178" t="s">
        <v>102</v>
      </c>
      <c r="G98" s="179">
        <v>152.40299999999999</v>
      </c>
      <c r="H98" s="179">
        <v>152.666</v>
      </c>
      <c r="I98" s="180">
        <f t="shared" si="39"/>
        <v>0.26300000000000523</v>
      </c>
      <c r="J98" s="179">
        <v>150.99799999999999</v>
      </c>
      <c r="K98" s="177" t="d">
        <v>2021-04-07T10:24:00.00000008381903175</v>
      </c>
      <c r="L98" s="179">
        <v>151.726</v>
      </c>
      <c r="M98" s="181">
        <f t="shared" si="40"/>
        <v>0.67700000000000005</v>
      </c>
      <c r="N98" s="182">
        <f t="shared" si="41"/>
        <v>2.57</v>
      </c>
      <c r="O98" s="183">
        <f t="shared" si="42"/>
        <v>0</v>
      </c>
      <c r="P98" s="184">
        <f t="shared" si="43"/>
        <v>2.57</v>
      </c>
      <c r="Q98" s="184">
        <f t="shared" si="44"/>
        <v>0</v>
      </c>
      <c r="R9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24760</v>
      </c>
      <c r="T9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25350</v>
      </c>
      <c r="U98" s="186">
        <f ca="1">IF(Tabla33610673486[[#This Row],[Equity]]&lt;Tabla33610673486[[#This Row],[Equity Peak]],(Tabla33610673486[[#This Row],[Equity Peak]]-Tabla33610673486[[#This Row],[Equity]])/Tabla33610673486[[#This Row],[Equity Peak]],"")</f>
        <v>2.3274161735700197E-2</v>
      </c>
      <c r="V98" s="187">
        <f t="shared" si="45"/>
        <v>2.57</v>
      </c>
      <c r="W98" s="187">
        <f t="shared" si="46"/>
        <v>0</v>
      </c>
      <c r="X98" s="187">
        <f t="shared" si="47"/>
        <v>0</v>
      </c>
      <c r="Y98" s="187">
        <f t="shared" si="48"/>
        <v>0</v>
      </c>
      <c r="Z98" s="187">
        <f t="shared" si="49"/>
        <v>0</v>
      </c>
      <c r="AA98" s="183">
        <f t="shared" si="50"/>
        <v>0</v>
      </c>
      <c r="AB98" s="187">
        <f t="shared" si="51"/>
        <v>0</v>
      </c>
      <c r="AC98" s="183">
        <f t="shared" si="52"/>
        <v>0</v>
      </c>
      <c r="AD98" s="188">
        <f t="shared" si="53"/>
        <v>0.77708333333430346</v>
      </c>
      <c r="AE98" s="188">
        <f t="shared" si="54"/>
        <v>0.77708333333430346</v>
      </c>
      <c r="AF98" s="188">
        <f t="shared" si="55"/>
        <v>0</v>
      </c>
      <c r="AG98" s="188">
        <f t="shared" si="56"/>
        <v>0</v>
      </c>
    </row>
    <row r="99" spans="2:33" ht="15" customHeight="1" x14ac:dyDescent="0.15">
      <c r="B99" s="174" t="s">
        <v>7</v>
      </c>
      <c r="C99" s="175" t="s">
        <v>15</v>
      </c>
      <c r="D99" s="176" t="str">
        <f t="shared" si="38"/>
        <v>C</v>
      </c>
      <c r="E99" s="177" t="d">
        <v>2021-04-05T11:15:00.000</v>
      </c>
      <c r="F99" s="178" t="s">
        <v>102</v>
      </c>
      <c r="G99" s="179">
        <v>153.249</v>
      </c>
      <c r="H99" s="179">
        <v>152.97800000000001</v>
      </c>
      <c r="I99" s="180">
        <f t="shared" si="39"/>
        <v>0.27099999999998658</v>
      </c>
      <c r="J99" s="179">
        <v>154.69399999999999</v>
      </c>
      <c r="K99" s="177" t="d">
        <v>2021-04-05T17:09:00.00000008381903175</v>
      </c>
      <c r="L99" s="179">
        <v>152.97800000000001</v>
      </c>
      <c r="M99" s="181">
        <f t="shared" si="40"/>
        <v>-0.27100000000000002</v>
      </c>
      <c r="N99" s="182">
        <f t="shared" si="41"/>
        <v>-1</v>
      </c>
      <c r="O99" s="183">
        <f t="shared" si="42"/>
        <v>0</v>
      </c>
      <c r="P99" s="184">
        <f t="shared" si="43"/>
        <v>0</v>
      </c>
      <c r="Q99" s="184">
        <f t="shared" si="44"/>
        <v>-1</v>
      </c>
      <c r="R9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9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24117.5</v>
      </c>
      <c r="T9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25350</v>
      </c>
      <c r="U99" s="186">
        <f ca="1">IF(Tabla33610673486[[#This Row],[Equity]]&lt;Tabla33610673486[[#This Row],[Equity Peak]],(Tabla33610673486[[#This Row],[Equity Peak]]-Tabla33610673486[[#This Row],[Equity]])/Tabla33610673486[[#This Row],[Equity Peak]],"")</f>
        <v>4.8619329388560159E-2</v>
      </c>
      <c r="V99" s="187">
        <f t="shared" si="45"/>
        <v>-1</v>
      </c>
      <c r="W99" s="187">
        <f t="shared" si="46"/>
        <v>0</v>
      </c>
      <c r="X99" s="187">
        <f t="shared" si="47"/>
        <v>0</v>
      </c>
      <c r="Y99" s="187">
        <f t="shared" si="48"/>
        <v>0</v>
      </c>
      <c r="Z99" s="187">
        <f t="shared" si="49"/>
        <v>0</v>
      </c>
      <c r="AA99" s="183">
        <f t="shared" si="50"/>
        <v>0</v>
      </c>
      <c r="AB99" s="187">
        <f t="shared" si="51"/>
        <v>0</v>
      </c>
      <c r="AC99" s="183">
        <f t="shared" si="52"/>
        <v>0</v>
      </c>
      <c r="AD99" s="188">
        <f t="shared" si="53"/>
        <v>0.24583333333430346</v>
      </c>
      <c r="AE99" s="188">
        <f t="shared" si="54"/>
        <v>0</v>
      </c>
      <c r="AF99" s="188">
        <f t="shared" si="55"/>
        <v>0.24583333333430346</v>
      </c>
      <c r="AG99" s="188">
        <f t="shared" si="56"/>
        <v>0</v>
      </c>
    </row>
    <row r="100" spans="2:33" ht="15" customHeight="1" x14ac:dyDescent="0.15">
      <c r="B100" s="174" t="s">
        <v>7</v>
      </c>
      <c r="C100" s="175" t="s">
        <v>15</v>
      </c>
      <c r="D100" s="176" t="str">
        <f t="shared" si="38"/>
        <v>C</v>
      </c>
      <c r="E100" s="177" t="d">
        <v>2021-04-01T16:44:59.99999979045242400</v>
      </c>
      <c r="F100" s="178" t="s">
        <v>102</v>
      </c>
      <c r="G100" s="179">
        <v>152.91</v>
      </c>
      <c r="H100" s="179">
        <v>152.57599999999999</v>
      </c>
      <c r="I100" s="180">
        <f t="shared" si="39"/>
        <v>0.33400000000000318</v>
      </c>
      <c r="J100" s="179">
        <v>154.69</v>
      </c>
      <c r="K100" s="177" t="d">
        <v>2021-04-02T11:48:59.999999734573066125</v>
      </c>
      <c r="L100" s="179">
        <v>152.83199999999999</v>
      </c>
      <c r="M100" s="181">
        <f t="shared" si="40"/>
        <v>-7.8E-2</v>
      </c>
      <c r="N100" s="182">
        <f t="shared" si="41"/>
        <v>-0.23</v>
      </c>
      <c r="O100" s="183">
        <f t="shared" si="42"/>
        <v>0</v>
      </c>
      <c r="P100" s="184">
        <f t="shared" si="43"/>
        <v>0</v>
      </c>
      <c r="Q100" s="184">
        <f t="shared" si="44"/>
        <v>-0.23</v>
      </c>
      <c r="R10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24367.5</v>
      </c>
      <c r="T10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25350</v>
      </c>
      <c r="U100" s="186">
        <f ca="1">IF(Tabla33610673486[[#This Row],[Equity]]&lt;Tabla33610673486[[#This Row],[Equity Peak]],(Tabla33610673486[[#This Row],[Equity Peak]]-Tabla33610673486[[#This Row],[Equity]])/Tabla33610673486[[#This Row],[Equity Peak]],"")</f>
        <v>3.8757396449704141E-2</v>
      </c>
      <c r="V100" s="187">
        <f t="shared" si="45"/>
        <v>-0.23</v>
      </c>
      <c r="W100" s="187">
        <f t="shared" si="46"/>
        <v>0</v>
      </c>
      <c r="X100" s="187">
        <f t="shared" si="47"/>
        <v>0</v>
      </c>
      <c r="Y100" s="187">
        <f t="shared" si="48"/>
        <v>0</v>
      </c>
      <c r="Z100" s="187">
        <f t="shared" si="49"/>
        <v>0</v>
      </c>
      <c r="AA100" s="183">
        <f t="shared" si="50"/>
        <v>0</v>
      </c>
      <c r="AB100" s="187">
        <f t="shared" si="51"/>
        <v>0</v>
      </c>
      <c r="AC100" s="183">
        <f t="shared" si="52"/>
        <v>0</v>
      </c>
      <c r="AD100" s="188">
        <f t="shared" si="53"/>
        <v>0.79444444444379769</v>
      </c>
      <c r="AE100" s="188">
        <f t="shared" si="54"/>
        <v>0</v>
      </c>
      <c r="AF100" s="188">
        <f t="shared" si="55"/>
        <v>0.79444444444379769</v>
      </c>
      <c r="AG100" s="188">
        <f t="shared" si="56"/>
        <v>0</v>
      </c>
    </row>
    <row r="101" spans="2:33" ht="15" customHeight="1" x14ac:dyDescent="0.15">
      <c r="B101" s="174" t="s">
        <v>7</v>
      </c>
      <c r="C101" s="175" t="s">
        <v>15</v>
      </c>
      <c r="D101" s="176" t="str">
        <f t="shared" si="38"/>
        <v>C</v>
      </c>
      <c r="E101" s="177" t="d">
        <v>2021-03-31T03:59:59.99999979045242400</v>
      </c>
      <c r="F101" s="178" t="s">
        <v>102</v>
      </c>
      <c r="G101" s="179">
        <v>152.12700000000001</v>
      </c>
      <c r="H101" s="179">
        <v>151.833</v>
      </c>
      <c r="I101" s="180">
        <f t="shared" si="39"/>
        <v>0.29400000000001114</v>
      </c>
      <c r="J101" s="179">
        <v>153.69300000000001</v>
      </c>
      <c r="K101" s="177" t="d">
        <v>2021-03-31T18:08:59.99999987427145575</v>
      </c>
      <c r="L101" s="179">
        <v>152.25700000000001</v>
      </c>
      <c r="M101" s="181">
        <f t="shared" si="40"/>
        <v>0.13</v>
      </c>
      <c r="N101" s="182">
        <f t="shared" si="41"/>
        <v>0.44</v>
      </c>
      <c r="O101" s="183">
        <f t="shared" si="42"/>
        <v>0</v>
      </c>
      <c r="P101" s="184">
        <f t="shared" si="43"/>
        <v>0.44</v>
      </c>
      <c r="Q101" s="184">
        <f t="shared" si="44"/>
        <v>0</v>
      </c>
      <c r="R10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24425</v>
      </c>
      <c r="T10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25350</v>
      </c>
      <c r="U101" s="186">
        <f ca="1">IF(Tabla33610673486[[#This Row],[Equity]]&lt;Tabla33610673486[[#This Row],[Equity Peak]],(Tabla33610673486[[#This Row],[Equity Peak]]-Tabla33610673486[[#This Row],[Equity]])/Tabla33610673486[[#This Row],[Equity Peak]],"")</f>
        <v>3.6489151873767257E-2</v>
      </c>
      <c r="V101" s="187">
        <f t="shared" si="45"/>
        <v>0.44</v>
      </c>
      <c r="W101" s="187">
        <f t="shared" si="46"/>
        <v>0</v>
      </c>
      <c r="X101" s="187">
        <f t="shared" si="47"/>
        <v>0</v>
      </c>
      <c r="Y101" s="187">
        <f t="shared" si="48"/>
        <v>0</v>
      </c>
      <c r="Z101" s="187">
        <f t="shared" si="49"/>
        <v>0</v>
      </c>
      <c r="AA101" s="183">
        <f t="shared" si="50"/>
        <v>0</v>
      </c>
      <c r="AB101" s="187">
        <f t="shared" si="51"/>
        <v>0</v>
      </c>
      <c r="AC101" s="183">
        <f t="shared" si="52"/>
        <v>0</v>
      </c>
      <c r="AD101" s="188">
        <f t="shared" si="53"/>
        <v>0.58958333333430346</v>
      </c>
      <c r="AE101" s="188">
        <f t="shared" si="54"/>
        <v>0.58958333333430346</v>
      </c>
      <c r="AF101" s="188">
        <f t="shared" si="55"/>
        <v>0</v>
      </c>
      <c r="AG101" s="188">
        <f t="shared" si="56"/>
        <v>0</v>
      </c>
    </row>
    <row r="102" spans="2:33" ht="15" customHeight="1" x14ac:dyDescent="0.15">
      <c r="B102" s="174" t="s">
        <v>7</v>
      </c>
      <c r="C102" s="175" t="s">
        <v>15</v>
      </c>
      <c r="D102" s="176" t="str">
        <f t="shared" si="38"/>
        <v>C</v>
      </c>
      <c r="E102" s="177" t="d">
        <v>2021-03-30T11:45:00.00000020954757600</v>
      </c>
      <c r="F102" s="178" t="s">
        <v>102</v>
      </c>
      <c r="G102" s="179">
        <v>151.904</v>
      </c>
      <c r="H102" s="179">
        <v>151.572</v>
      </c>
      <c r="I102" s="180">
        <f t="shared" si="39"/>
        <v>0.33199999999999363</v>
      </c>
      <c r="J102" s="179">
        <v>153.67599999999999</v>
      </c>
      <c r="K102" s="177" t="d">
        <v>2021-03-30T14:51:59.99999969266355025</v>
      </c>
      <c r="L102" s="179">
        <v>151.572</v>
      </c>
      <c r="M102" s="181">
        <f t="shared" si="40"/>
        <v>-0.33200000000000002</v>
      </c>
      <c r="N102" s="182">
        <f t="shared" si="41"/>
        <v>-1</v>
      </c>
      <c r="O102" s="183">
        <f t="shared" si="42"/>
        <v>0</v>
      </c>
      <c r="P102" s="184">
        <f t="shared" si="43"/>
        <v>0</v>
      </c>
      <c r="Q102" s="184">
        <f t="shared" si="44"/>
        <v>-1</v>
      </c>
      <c r="R10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24315</v>
      </c>
      <c r="T10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25350</v>
      </c>
      <c r="U102" s="186">
        <f ca="1">IF(Tabla33610673486[[#This Row],[Equity]]&lt;Tabla33610673486[[#This Row],[Equity Peak]],(Tabla33610673486[[#This Row],[Equity Peak]]-Tabla33610673486[[#This Row],[Equity]])/Tabla33610673486[[#This Row],[Equity Peak]],"")</f>
        <v>4.0828402366863907E-2</v>
      </c>
      <c r="V102" s="187">
        <f t="shared" si="45"/>
        <v>-1</v>
      </c>
      <c r="W102" s="187">
        <f t="shared" si="46"/>
        <v>0</v>
      </c>
      <c r="X102" s="187">
        <f t="shared" si="47"/>
        <v>0</v>
      </c>
      <c r="Y102" s="187">
        <f t="shared" si="48"/>
        <v>0</v>
      </c>
      <c r="Z102" s="187">
        <f t="shared" si="49"/>
        <v>0</v>
      </c>
      <c r="AA102" s="183">
        <f t="shared" si="50"/>
        <v>0</v>
      </c>
      <c r="AB102" s="187">
        <f t="shared" si="51"/>
        <v>0</v>
      </c>
      <c r="AC102" s="183">
        <f t="shared" si="52"/>
        <v>0</v>
      </c>
      <c r="AD102" s="188">
        <f t="shared" si="53"/>
        <v>0.12986111110512866</v>
      </c>
      <c r="AE102" s="188">
        <f t="shared" si="54"/>
        <v>0</v>
      </c>
      <c r="AF102" s="188">
        <f t="shared" si="55"/>
        <v>0.12986111110512866</v>
      </c>
      <c r="AG102" s="188">
        <f t="shared" si="56"/>
        <v>0</v>
      </c>
    </row>
    <row r="103" spans="2:33" ht="15" customHeight="1" x14ac:dyDescent="0.15">
      <c r="B103" s="174" t="s">
        <v>7</v>
      </c>
      <c r="C103" s="175" t="s">
        <v>15</v>
      </c>
      <c r="D103" s="176" t="str">
        <f t="shared" si="38"/>
        <v>C</v>
      </c>
      <c r="E103" s="177" t="d">
        <v>2021-03-29T11:29:59.99999979045242400</v>
      </c>
      <c r="F103" s="178" t="s">
        <v>102</v>
      </c>
      <c r="G103" s="179">
        <v>151.59299999999999</v>
      </c>
      <c r="H103" s="179">
        <v>151.245</v>
      </c>
      <c r="I103" s="180">
        <f t="shared" si="39"/>
        <v>0.34799999999998477</v>
      </c>
      <c r="J103" s="179">
        <v>153.45099999999999</v>
      </c>
      <c r="K103" s="177" t="d">
        <v>2021-03-29T17:32:59.99999974854290475</v>
      </c>
      <c r="L103" s="179">
        <v>151.273</v>
      </c>
      <c r="M103" s="181">
        <f t="shared" si="40"/>
        <v>-0.32</v>
      </c>
      <c r="N103" s="182">
        <f t="shared" si="41"/>
        <v>-0.92</v>
      </c>
      <c r="O103" s="183">
        <f t="shared" si="42"/>
        <v>0</v>
      </c>
      <c r="P103" s="184">
        <f t="shared" si="43"/>
        <v>0</v>
      </c>
      <c r="Q103" s="184">
        <f t="shared" si="44"/>
        <v>-0.92</v>
      </c>
      <c r="R10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24565</v>
      </c>
      <c r="T10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25350</v>
      </c>
      <c r="U103" s="186">
        <f ca="1">IF(Tabla33610673486[[#This Row],[Equity]]&lt;Tabla33610673486[[#This Row],[Equity Peak]],(Tabla33610673486[[#This Row],[Equity Peak]]-Tabla33610673486[[#This Row],[Equity]])/Tabla33610673486[[#This Row],[Equity Peak]],"")</f>
        <v>3.0966469428007889E-2</v>
      </c>
      <c r="V103" s="187">
        <f t="shared" si="45"/>
        <v>-0.92</v>
      </c>
      <c r="W103" s="187">
        <f t="shared" si="46"/>
        <v>0</v>
      </c>
      <c r="X103" s="187">
        <f t="shared" si="47"/>
        <v>0</v>
      </c>
      <c r="Y103" s="187">
        <f t="shared" si="48"/>
        <v>0</v>
      </c>
      <c r="Z103" s="187">
        <f t="shared" si="49"/>
        <v>0</v>
      </c>
      <c r="AA103" s="183">
        <f t="shared" si="50"/>
        <v>0</v>
      </c>
      <c r="AB103" s="187">
        <f t="shared" si="51"/>
        <v>0</v>
      </c>
      <c r="AC103" s="183">
        <f t="shared" si="52"/>
        <v>0</v>
      </c>
      <c r="AD103" s="188">
        <f t="shared" si="53"/>
        <v>0.25208333333284827</v>
      </c>
      <c r="AE103" s="188">
        <f t="shared" si="54"/>
        <v>0</v>
      </c>
      <c r="AF103" s="188">
        <f t="shared" si="55"/>
        <v>0.25208333333284827</v>
      </c>
      <c r="AG103" s="188">
        <f t="shared" si="56"/>
        <v>0</v>
      </c>
    </row>
    <row r="104" spans="2:33" ht="15" customHeight="1" x14ac:dyDescent="0.15">
      <c r="B104" s="174" t="s">
        <v>7</v>
      </c>
      <c r="C104" s="175" t="s">
        <v>15</v>
      </c>
      <c r="D104" s="176" t="str">
        <f t="shared" si="38"/>
        <v>C</v>
      </c>
      <c r="E104" s="177" t="d">
        <v>2021-03-26T11:15:00.000</v>
      </c>
      <c r="F104" s="178" t="s">
        <v>102</v>
      </c>
      <c r="G104" s="179">
        <v>150.65199999999999</v>
      </c>
      <c r="H104" s="179">
        <v>150.34399999999999</v>
      </c>
      <c r="I104" s="180">
        <f t="shared" si="39"/>
        <v>0.30799999999999272</v>
      </c>
      <c r="J104" s="179">
        <v>152.29499999999999</v>
      </c>
      <c r="K104" s="177" t="d">
        <v>2021-03-26T18:59:59.99999979045242400</v>
      </c>
      <c r="L104" s="179">
        <v>151.02799999999999</v>
      </c>
      <c r="M104" s="181">
        <f t="shared" si="40"/>
        <v>0.376</v>
      </c>
      <c r="N104" s="182">
        <f t="shared" si="41"/>
        <v>1.22</v>
      </c>
      <c r="O104" s="183">
        <f t="shared" si="42"/>
        <v>0</v>
      </c>
      <c r="P104" s="184">
        <f t="shared" si="43"/>
        <v>1.22</v>
      </c>
      <c r="Q104" s="184">
        <f t="shared" si="44"/>
        <v>0</v>
      </c>
      <c r="R10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24795</v>
      </c>
      <c r="T10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25350</v>
      </c>
      <c r="U104" s="186">
        <f ca="1">IF(Tabla33610673486[[#This Row],[Equity]]&lt;Tabla33610673486[[#This Row],[Equity Peak]],(Tabla33610673486[[#This Row],[Equity Peak]]-Tabla33610673486[[#This Row],[Equity]])/Tabla33610673486[[#This Row],[Equity Peak]],"")</f>
        <v>2.1893491124260357E-2</v>
      </c>
      <c r="V104" s="187">
        <f t="shared" si="45"/>
        <v>1.22</v>
      </c>
      <c r="W104" s="187">
        <f t="shared" si="46"/>
        <v>0</v>
      </c>
      <c r="X104" s="187">
        <f t="shared" si="47"/>
        <v>0</v>
      </c>
      <c r="Y104" s="187">
        <f t="shared" si="48"/>
        <v>0</v>
      </c>
      <c r="Z104" s="187">
        <f t="shared" si="49"/>
        <v>0</v>
      </c>
      <c r="AA104" s="183">
        <f t="shared" si="50"/>
        <v>0</v>
      </c>
      <c r="AB104" s="187">
        <f t="shared" si="51"/>
        <v>0</v>
      </c>
      <c r="AC104" s="183">
        <f t="shared" si="52"/>
        <v>0</v>
      </c>
      <c r="AD104" s="188">
        <f t="shared" si="53"/>
        <v>0.32291666666424135</v>
      </c>
      <c r="AE104" s="188">
        <f t="shared" si="54"/>
        <v>0.32291666666424135</v>
      </c>
      <c r="AF104" s="188">
        <f t="shared" si="55"/>
        <v>0</v>
      </c>
      <c r="AG104" s="188">
        <f t="shared" si="56"/>
        <v>0</v>
      </c>
    </row>
    <row r="105" spans="2:33" ht="15" customHeight="1" x14ac:dyDescent="0.15">
      <c r="B105" s="174" t="s">
        <v>7</v>
      </c>
      <c r="C105" s="175" t="s">
        <v>13</v>
      </c>
      <c r="D105" s="176" t="str">
        <f t="shared" si="38"/>
        <v>C</v>
      </c>
      <c r="E105" s="177" t="d">
        <v>2021-03-23T11:29:59.99999979045242400</v>
      </c>
      <c r="F105" s="178" t="s">
        <v>102</v>
      </c>
      <c r="G105" s="179">
        <v>150.19300000000001</v>
      </c>
      <c r="H105" s="179">
        <v>150.47</v>
      </c>
      <c r="I105" s="180">
        <f t="shared" si="39"/>
        <v>0.27699999999998681</v>
      </c>
      <c r="J105" s="179">
        <v>148.71700000000001</v>
      </c>
      <c r="K105" s="177" t="d">
        <v>2021-03-23T14:30:59.99999998603016475</v>
      </c>
      <c r="L105" s="179">
        <v>149.589</v>
      </c>
      <c r="M105" s="181">
        <f t="shared" si="40"/>
        <v>0.60399999999999998</v>
      </c>
      <c r="N105" s="182">
        <f t="shared" si="41"/>
        <v>2.1800000000000002</v>
      </c>
      <c r="O105" s="183">
        <f t="shared" si="42"/>
        <v>0</v>
      </c>
      <c r="P105" s="184">
        <f t="shared" si="43"/>
        <v>2.1800000000000002</v>
      </c>
      <c r="Q105" s="184">
        <f t="shared" si="44"/>
        <v>0</v>
      </c>
      <c r="R10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24490</v>
      </c>
      <c r="T10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25350</v>
      </c>
      <c r="U105" s="186">
        <f ca="1">IF(Tabla33610673486[[#This Row],[Equity]]&lt;Tabla33610673486[[#This Row],[Equity Peak]],(Tabla33610673486[[#This Row],[Equity Peak]]-Tabla33610673486[[#This Row],[Equity]])/Tabla33610673486[[#This Row],[Equity Peak]],"")</f>
        <v>3.3925049309664695E-2</v>
      </c>
      <c r="V105" s="187">
        <f t="shared" si="45"/>
        <v>2.1800000000000002</v>
      </c>
      <c r="W105" s="187">
        <f t="shared" si="46"/>
        <v>0</v>
      </c>
      <c r="X105" s="187">
        <f t="shared" si="47"/>
        <v>0</v>
      </c>
      <c r="Y105" s="187">
        <f t="shared" si="48"/>
        <v>0</v>
      </c>
      <c r="Z105" s="187">
        <f t="shared" si="49"/>
        <v>0</v>
      </c>
      <c r="AA105" s="183">
        <f t="shared" si="50"/>
        <v>0</v>
      </c>
      <c r="AB105" s="187">
        <f t="shared" si="51"/>
        <v>0</v>
      </c>
      <c r="AC105" s="183">
        <f t="shared" si="52"/>
        <v>0</v>
      </c>
      <c r="AD105" s="188">
        <f t="shared" si="53"/>
        <v>0.12569444444670808</v>
      </c>
      <c r="AE105" s="188">
        <f t="shared" si="54"/>
        <v>0.12569444444670808</v>
      </c>
      <c r="AF105" s="188">
        <f t="shared" si="55"/>
        <v>0</v>
      </c>
      <c r="AG105" s="188">
        <f t="shared" si="56"/>
        <v>0</v>
      </c>
    </row>
    <row r="106" spans="2:33" ht="15" customHeight="1" x14ac:dyDescent="0.15">
      <c r="B106" s="174" t="s">
        <v>7</v>
      </c>
      <c r="C106" s="175" t="s">
        <v>13</v>
      </c>
      <c r="D106" s="176" t="str">
        <f t="shared" si="38"/>
        <v>C</v>
      </c>
      <c r="E106" s="177" t="d">
        <v>2021-03-22T00:24:59.99999986030161375</v>
      </c>
      <c r="F106" s="178" t="s">
        <v>102</v>
      </c>
      <c r="G106" s="179">
        <v>150.33699999999999</v>
      </c>
      <c r="H106" s="179">
        <v>150.69900000000001</v>
      </c>
      <c r="I106" s="180">
        <f t="shared" si="39"/>
        <v>0.36200000000002319</v>
      </c>
      <c r="J106" s="179">
        <v>148.40700000000001</v>
      </c>
      <c r="K106" s="177" t="d">
        <v>2021-03-22T01:08:00.000000097788870375</v>
      </c>
      <c r="L106" s="179">
        <v>150.69900000000001</v>
      </c>
      <c r="M106" s="181">
        <f t="shared" si="40"/>
        <v>-0.36199999999999999</v>
      </c>
      <c r="N106" s="182">
        <f t="shared" si="41"/>
        <v>-1</v>
      </c>
      <c r="O106" s="183">
        <f t="shared" si="42"/>
        <v>0</v>
      </c>
      <c r="P106" s="184">
        <f t="shared" si="43"/>
        <v>0</v>
      </c>
      <c r="Q106" s="184">
        <f t="shared" si="44"/>
        <v>-1</v>
      </c>
      <c r="R10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23945</v>
      </c>
      <c r="T10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25350</v>
      </c>
      <c r="U106" s="186">
        <f ca="1">IF(Tabla33610673486[[#This Row],[Equity]]&lt;Tabla33610673486[[#This Row],[Equity Peak]],(Tabla33610673486[[#This Row],[Equity Peak]]-Tabla33610673486[[#This Row],[Equity]])/Tabla33610673486[[#This Row],[Equity Peak]],"")</f>
        <v>5.5424063116370811E-2</v>
      </c>
      <c r="V106" s="187">
        <f t="shared" si="45"/>
        <v>-1</v>
      </c>
      <c r="W106" s="187">
        <f t="shared" si="46"/>
        <v>0</v>
      </c>
      <c r="X106" s="187">
        <f t="shared" si="47"/>
        <v>0</v>
      </c>
      <c r="Y106" s="187">
        <f t="shared" si="48"/>
        <v>0</v>
      </c>
      <c r="Z106" s="187">
        <f t="shared" si="49"/>
        <v>0</v>
      </c>
      <c r="AA106" s="183">
        <f t="shared" si="50"/>
        <v>0</v>
      </c>
      <c r="AB106" s="187">
        <f t="shared" si="51"/>
        <v>0</v>
      </c>
      <c r="AC106" s="183">
        <f t="shared" si="52"/>
        <v>0</v>
      </c>
      <c r="AD106" s="188">
        <f t="shared" si="53"/>
        <v>2.9861111113859806E-2</v>
      </c>
      <c r="AE106" s="188">
        <f t="shared" si="54"/>
        <v>0</v>
      </c>
      <c r="AF106" s="188">
        <f t="shared" si="55"/>
        <v>2.9861111113859806E-2</v>
      </c>
      <c r="AG106" s="188">
        <f t="shared" si="56"/>
        <v>0</v>
      </c>
    </row>
    <row r="107" spans="2:33" ht="15" customHeight="1" x14ac:dyDescent="0.15">
      <c r="B107" s="174" t="s">
        <v>7</v>
      </c>
      <c r="C107" s="175" t="s">
        <v>13</v>
      </c>
      <c r="D107" s="176" t="str">
        <f t="shared" si="38"/>
        <v>C</v>
      </c>
      <c r="E107" s="177" t="d">
        <v>2021-03-19T16:44:59.99999979045242400</v>
      </c>
      <c r="F107" s="178" t="s">
        <v>102</v>
      </c>
      <c r="G107" s="179">
        <v>150.89500000000001</v>
      </c>
      <c r="H107" s="179">
        <v>151.27000000000001</v>
      </c>
      <c r="I107" s="180">
        <f t="shared" si="39"/>
        <v>0.375</v>
      </c>
      <c r="J107" s="179">
        <v>148.89599999999999</v>
      </c>
      <c r="K107" s="177" t="d">
        <v>2021-03-19T21:08:59.99999987427145575</v>
      </c>
      <c r="L107" s="179">
        <v>151.185</v>
      </c>
      <c r="M107" s="181">
        <f t="shared" si="40"/>
        <v>-0.28999999999999998</v>
      </c>
      <c r="N107" s="182">
        <f t="shared" si="41"/>
        <v>-0.77</v>
      </c>
      <c r="O107" s="183">
        <f t="shared" si="42"/>
        <v>0</v>
      </c>
      <c r="P107" s="184">
        <f t="shared" si="43"/>
        <v>0</v>
      </c>
      <c r="Q107" s="184">
        <f t="shared" si="44"/>
        <v>-0.77</v>
      </c>
      <c r="R10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24195</v>
      </c>
      <c r="T10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25350</v>
      </c>
      <c r="U107" s="186">
        <f ca="1">IF(Tabla33610673486[[#This Row],[Equity]]&lt;Tabla33610673486[[#This Row],[Equity Peak]],(Tabla33610673486[[#This Row],[Equity Peak]]-Tabla33610673486[[#This Row],[Equity]])/Tabla33610673486[[#This Row],[Equity Peak]],"")</f>
        <v>4.5562130177514794E-2</v>
      </c>
      <c r="V107" s="187">
        <f t="shared" si="45"/>
        <v>-0.77</v>
      </c>
      <c r="W107" s="187">
        <f t="shared" si="46"/>
        <v>0</v>
      </c>
      <c r="X107" s="187">
        <f t="shared" si="47"/>
        <v>0</v>
      </c>
      <c r="Y107" s="187">
        <f t="shared" si="48"/>
        <v>0</v>
      </c>
      <c r="Z107" s="187">
        <f t="shared" si="49"/>
        <v>0</v>
      </c>
      <c r="AA107" s="183">
        <f t="shared" si="50"/>
        <v>0</v>
      </c>
      <c r="AB107" s="187">
        <f t="shared" si="51"/>
        <v>0</v>
      </c>
      <c r="AC107" s="183">
        <f t="shared" si="52"/>
        <v>0</v>
      </c>
      <c r="AD107" s="188">
        <f t="shared" si="53"/>
        <v>0.18333333333430346</v>
      </c>
      <c r="AE107" s="188">
        <f t="shared" si="54"/>
        <v>0</v>
      </c>
      <c r="AF107" s="188">
        <f t="shared" si="55"/>
        <v>0.18333333333430346</v>
      </c>
      <c r="AG107" s="188">
        <f t="shared" si="56"/>
        <v>0</v>
      </c>
    </row>
    <row r="108" spans="2:33" ht="15" customHeight="1" x14ac:dyDescent="0.15">
      <c r="B108" s="174" t="s">
        <v>7</v>
      </c>
      <c r="C108" s="175" t="s">
        <v>15</v>
      </c>
      <c r="D108" s="176" t="str">
        <f t="shared" si="38"/>
        <v>C</v>
      </c>
      <c r="E108" s="177" t="d">
        <v>2021-03-18T10:15:00.00000020954757600</v>
      </c>
      <c r="F108" s="178" t="s">
        <v>102</v>
      </c>
      <c r="G108" s="179">
        <v>152.363</v>
      </c>
      <c r="H108" s="179">
        <v>152.059</v>
      </c>
      <c r="I108" s="180">
        <f t="shared" si="39"/>
        <v>0.30400000000000205</v>
      </c>
      <c r="J108" s="179">
        <v>153.98400000000001</v>
      </c>
      <c r="K108" s="177" t="d">
        <v>2021-03-18T15:08:59.99999987427145575</v>
      </c>
      <c r="L108" s="179">
        <v>152.1</v>
      </c>
      <c r="M108" s="181">
        <f t="shared" si="40"/>
        <v>-0.26300000000000001</v>
      </c>
      <c r="N108" s="182">
        <f t="shared" si="41"/>
        <v>-0.87</v>
      </c>
      <c r="O108" s="183">
        <f t="shared" si="42"/>
        <v>0</v>
      </c>
      <c r="P108" s="184">
        <f t="shared" si="43"/>
        <v>0</v>
      </c>
      <c r="Q108" s="184">
        <f t="shared" si="44"/>
        <v>-0.87</v>
      </c>
      <c r="R10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24387.5</v>
      </c>
      <c r="T10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25350</v>
      </c>
      <c r="U108" s="186">
        <f ca="1">IF(Tabla33610673486[[#This Row],[Equity]]&lt;Tabla33610673486[[#This Row],[Equity Peak]],(Tabla33610673486[[#This Row],[Equity Peak]]-Tabla33610673486[[#This Row],[Equity]])/Tabla33610673486[[#This Row],[Equity Peak]],"")</f>
        <v>3.796844181459566E-2</v>
      </c>
      <c r="V108" s="187">
        <f t="shared" si="45"/>
        <v>-0.87</v>
      </c>
      <c r="W108" s="187">
        <f t="shared" si="46"/>
        <v>0</v>
      </c>
      <c r="X108" s="187">
        <f t="shared" si="47"/>
        <v>0</v>
      </c>
      <c r="Y108" s="187">
        <f t="shared" si="48"/>
        <v>0</v>
      </c>
      <c r="Z108" s="187">
        <f t="shared" si="49"/>
        <v>0</v>
      </c>
      <c r="AA108" s="183">
        <f t="shared" si="50"/>
        <v>0</v>
      </c>
      <c r="AB108" s="187">
        <f t="shared" si="51"/>
        <v>0</v>
      </c>
      <c r="AC108" s="183">
        <f t="shared" si="52"/>
        <v>0</v>
      </c>
      <c r="AD108" s="188">
        <f t="shared" si="53"/>
        <v>0.20416666666278616</v>
      </c>
      <c r="AE108" s="188">
        <f t="shared" si="54"/>
        <v>0</v>
      </c>
      <c r="AF108" s="188">
        <f t="shared" si="55"/>
        <v>0.20416666666278616</v>
      </c>
      <c r="AG108" s="188">
        <f t="shared" si="56"/>
        <v>0</v>
      </c>
    </row>
    <row r="109" spans="2:33" ht="15" customHeight="1" x14ac:dyDescent="0.15">
      <c r="B109" s="174" t="s">
        <v>7</v>
      </c>
      <c r="C109" s="175" t="s">
        <v>15</v>
      </c>
      <c r="D109" s="176" t="str">
        <f t="shared" si="38"/>
        <v>C</v>
      </c>
      <c r="E109" s="177" t="d">
        <v>2021-03-18T02:45:00.00000020954757600</v>
      </c>
      <c r="F109" s="178" t="s">
        <v>102</v>
      </c>
      <c r="G109" s="179">
        <v>152.13900000000001</v>
      </c>
      <c r="H109" s="179">
        <v>151.86799999999999</v>
      </c>
      <c r="I109" s="180">
        <f t="shared" si="39"/>
        <v>0.27100000000001501</v>
      </c>
      <c r="J109" s="179">
        <v>153.583</v>
      </c>
      <c r="K109" s="177" t="d">
        <v>2021-03-18T06:07:00.00000011175870900</v>
      </c>
      <c r="L109" s="179">
        <v>151.86799999999999</v>
      </c>
      <c r="M109" s="181">
        <f t="shared" si="40"/>
        <v>-0.27100000000000002</v>
      </c>
      <c r="N109" s="182">
        <f t="shared" si="41"/>
        <v>-1</v>
      </c>
      <c r="O109" s="183">
        <f t="shared" si="42"/>
        <v>0</v>
      </c>
      <c r="P109" s="184">
        <f t="shared" si="43"/>
        <v>0</v>
      </c>
      <c r="Q109" s="184">
        <f t="shared" si="44"/>
        <v>-1</v>
      </c>
      <c r="R10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0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24605</v>
      </c>
      <c r="T10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25350</v>
      </c>
      <c r="U109" s="186">
        <f ca="1">IF(Tabla33610673486[[#This Row],[Equity]]&lt;Tabla33610673486[[#This Row],[Equity Peak]],(Tabla33610673486[[#This Row],[Equity Peak]]-Tabla33610673486[[#This Row],[Equity]])/Tabla33610673486[[#This Row],[Equity Peak]],"")</f>
        <v>2.9388560157790927E-2</v>
      </c>
      <c r="V109" s="187">
        <f t="shared" si="45"/>
        <v>-1</v>
      </c>
      <c r="W109" s="187">
        <f t="shared" si="46"/>
        <v>0</v>
      </c>
      <c r="X109" s="187">
        <f t="shared" si="47"/>
        <v>0</v>
      </c>
      <c r="Y109" s="187">
        <f t="shared" si="48"/>
        <v>0</v>
      </c>
      <c r="Z109" s="187">
        <f t="shared" si="49"/>
        <v>0</v>
      </c>
      <c r="AA109" s="183">
        <f t="shared" si="50"/>
        <v>0</v>
      </c>
      <c r="AB109" s="187">
        <f t="shared" si="51"/>
        <v>0</v>
      </c>
      <c r="AC109" s="183">
        <f t="shared" si="52"/>
        <v>0</v>
      </c>
      <c r="AD109" s="188">
        <f t="shared" si="53"/>
        <v>0.14027777777664596</v>
      </c>
      <c r="AE109" s="188">
        <f t="shared" si="54"/>
        <v>0</v>
      </c>
      <c r="AF109" s="188">
        <f t="shared" si="55"/>
        <v>0.14027777777664596</v>
      </c>
      <c r="AG109" s="188">
        <f t="shared" si="56"/>
        <v>0</v>
      </c>
    </row>
    <row r="110" spans="2:33" ht="15" customHeight="1" x14ac:dyDescent="0.15">
      <c r="B110" s="174" t="s">
        <v>7</v>
      </c>
      <c r="C110" s="175" t="s">
        <v>13</v>
      </c>
      <c r="D110" s="176" t="str">
        <f t="shared" si="38"/>
        <v>C</v>
      </c>
      <c r="E110" s="177" t="d">
        <v>2021-03-16T12:00:00.000</v>
      </c>
      <c r="F110" s="178" t="s">
        <v>102</v>
      </c>
      <c r="G110" s="179">
        <v>150.93299999999999</v>
      </c>
      <c r="H110" s="179">
        <v>151.19900000000001</v>
      </c>
      <c r="I110" s="180">
        <f t="shared" si="39"/>
        <v>0.26600000000001955</v>
      </c>
      <c r="J110" s="179">
        <v>149.517</v>
      </c>
      <c r="K110" s="177" t="d">
        <v>2021-03-16T14:20:59.99999991618096825</v>
      </c>
      <c r="L110" s="179">
        <v>151.19900000000001</v>
      </c>
      <c r="M110" s="181">
        <f t="shared" si="40"/>
        <v>-0.26600000000000001</v>
      </c>
      <c r="N110" s="182">
        <f t="shared" si="41"/>
        <v>-1</v>
      </c>
      <c r="O110" s="183">
        <f t="shared" si="42"/>
        <v>0</v>
      </c>
      <c r="P110" s="184">
        <f t="shared" si="43"/>
        <v>0</v>
      </c>
      <c r="Q110" s="184">
        <f t="shared" si="44"/>
        <v>-1</v>
      </c>
      <c r="R11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24855</v>
      </c>
      <c r="T11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25350</v>
      </c>
      <c r="U110" s="186">
        <f ca="1">IF(Tabla33610673486[[#This Row],[Equity]]&lt;Tabla33610673486[[#This Row],[Equity Peak]],(Tabla33610673486[[#This Row],[Equity Peak]]-Tabla33610673486[[#This Row],[Equity]])/Tabla33610673486[[#This Row],[Equity Peak]],"")</f>
        <v>1.952662721893491E-2</v>
      </c>
      <c r="V110" s="187">
        <f t="shared" si="45"/>
        <v>-1</v>
      </c>
      <c r="W110" s="187">
        <f t="shared" si="46"/>
        <v>0</v>
      </c>
      <c r="X110" s="187">
        <f t="shared" si="47"/>
        <v>0</v>
      </c>
      <c r="Y110" s="187">
        <f t="shared" si="48"/>
        <v>0</v>
      </c>
      <c r="Z110" s="187">
        <f t="shared" si="49"/>
        <v>0</v>
      </c>
      <c r="AA110" s="183">
        <f t="shared" si="50"/>
        <v>0</v>
      </c>
      <c r="AB110" s="187">
        <f t="shared" si="51"/>
        <v>0</v>
      </c>
      <c r="AC110" s="183">
        <f t="shared" si="52"/>
        <v>0</v>
      </c>
      <c r="AD110" s="188">
        <f t="shared" si="53"/>
        <v>9.7916666665696539E-2</v>
      </c>
      <c r="AE110" s="188">
        <f t="shared" si="54"/>
        <v>0</v>
      </c>
      <c r="AF110" s="188">
        <f t="shared" si="55"/>
        <v>9.7916666665696539E-2</v>
      </c>
      <c r="AG110" s="188">
        <f t="shared" si="56"/>
        <v>0</v>
      </c>
    </row>
    <row r="111" spans="2:33" ht="15" customHeight="1" x14ac:dyDescent="0.15">
      <c r="B111" s="174" t="s">
        <v>7</v>
      </c>
      <c r="C111" s="175" t="s">
        <v>15</v>
      </c>
      <c r="D111" s="176" t="str">
        <f t="shared" si="38"/>
        <v>C</v>
      </c>
      <c r="E111" s="177" t="d">
        <v>2021-03-11T21:59:59.99999979045242400</v>
      </c>
      <c r="F111" s="178" t="s">
        <v>102</v>
      </c>
      <c r="G111" s="179">
        <v>151.71899999999999</v>
      </c>
      <c r="H111" s="179">
        <v>151.447</v>
      </c>
      <c r="I111" s="180">
        <f t="shared" si="39"/>
        <v>0.27199999999999136</v>
      </c>
      <c r="J111" s="179">
        <v>153.16999999999999</v>
      </c>
      <c r="K111" s="177" t="d">
        <v>2021-03-12T11:39:00.00000029336660775</v>
      </c>
      <c r="L111" s="179">
        <v>151.83000000000001</v>
      </c>
      <c r="M111" s="181">
        <f t="shared" si="40"/>
        <v>0.111</v>
      </c>
      <c r="N111" s="182">
        <f t="shared" si="41"/>
        <v>0.41</v>
      </c>
      <c r="O111" s="183">
        <f t="shared" si="42"/>
        <v>0</v>
      </c>
      <c r="P111" s="184">
        <f t="shared" si="43"/>
        <v>0.41</v>
      </c>
      <c r="Q111" s="184">
        <f t="shared" si="44"/>
        <v>0</v>
      </c>
      <c r="R11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25105</v>
      </c>
      <c r="T11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25350</v>
      </c>
      <c r="U111" s="186">
        <f ca="1">IF(Tabla33610673486[[#This Row],[Equity]]&lt;Tabla33610673486[[#This Row],[Equity Peak]],(Tabla33610673486[[#This Row],[Equity Peak]]-Tabla33610673486[[#This Row],[Equity]])/Tabla33610673486[[#This Row],[Equity Peak]],"")</f>
        <v>9.6646942800788956E-3</v>
      </c>
      <c r="V111" s="187">
        <f t="shared" si="45"/>
        <v>0.41</v>
      </c>
      <c r="W111" s="187">
        <f t="shared" si="46"/>
        <v>0</v>
      </c>
      <c r="X111" s="187">
        <f t="shared" si="47"/>
        <v>0</v>
      </c>
      <c r="Y111" s="187">
        <f t="shared" si="48"/>
        <v>0</v>
      </c>
      <c r="Z111" s="187">
        <f t="shared" si="49"/>
        <v>0</v>
      </c>
      <c r="AA111" s="183">
        <f t="shared" si="50"/>
        <v>0</v>
      </c>
      <c r="AB111" s="187">
        <f t="shared" si="51"/>
        <v>0</v>
      </c>
      <c r="AC111" s="183">
        <f t="shared" si="52"/>
        <v>0</v>
      </c>
      <c r="AD111" s="188">
        <f t="shared" si="53"/>
        <v>0.56875000000582077</v>
      </c>
      <c r="AE111" s="188">
        <f t="shared" si="54"/>
        <v>0.56875000000582077</v>
      </c>
      <c r="AF111" s="188">
        <f t="shared" si="55"/>
        <v>0</v>
      </c>
      <c r="AG111" s="188">
        <f t="shared" si="56"/>
        <v>0</v>
      </c>
    </row>
    <row r="112" spans="2:33" ht="15" customHeight="1" x14ac:dyDescent="0.15">
      <c r="B112" s="174" t="s">
        <v>7</v>
      </c>
      <c r="C112" s="175" t="s">
        <v>15</v>
      </c>
      <c r="D112" s="176" t="str">
        <f t="shared" si="38"/>
        <v>C</v>
      </c>
      <c r="E112" s="177" t="d">
        <v>2021-03-11T06:59:59.99999979045242400</v>
      </c>
      <c r="F112" s="178" t="s">
        <v>102</v>
      </c>
      <c r="G112" s="179">
        <v>151.38200000000001</v>
      </c>
      <c r="H112" s="179">
        <v>151.09299999999999</v>
      </c>
      <c r="I112" s="180">
        <f t="shared" si="39"/>
        <v>0.28900000000001569</v>
      </c>
      <c r="J112" s="179">
        <v>152.92500000000001</v>
      </c>
      <c r="K112" s="177" t="d">
        <v>2021-03-11T10:51:59.99999990221113300</v>
      </c>
      <c r="L112" s="179">
        <v>151.24</v>
      </c>
      <c r="M112" s="181">
        <f t="shared" si="40"/>
        <v>-0.14199999999999999</v>
      </c>
      <c r="N112" s="182">
        <f t="shared" si="41"/>
        <v>-0.49</v>
      </c>
      <c r="O112" s="183">
        <f t="shared" si="42"/>
        <v>0</v>
      </c>
      <c r="P112" s="184">
        <f t="shared" si="43"/>
        <v>0</v>
      </c>
      <c r="Q112" s="184">
        <f t="shared" si="44"/>
        <v>-0.49</v>
      </c>
      <c r="R11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25002.5</v>
      </c>
      <c r="T11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25350</v>
      </c>
      <c r="U112" s="186">
        <f ca="1">IF(Tabla33610673486[[#This Row],[Equity]]&lt;Tabla33610673486[[#This Row],[Equity Peak]],(Tabla33610673486[[#This Row],[Equity Peak]]-Tabla33610673486[[#This Row],[Equity]])/Tabla33610673486[[#This Row],[Equity Peak]],"")</f>
        <v>1.3708086785009862E-2</v>
      </c>
      <c r="V112" s="187">
        <f t="shared" si="45"/>
        <v>-0.49</v>
      </c>
      <c r="W112" s="187">
        <f t="shared" si="46"/>
        <v>0</v>
      </c>
      <c r="X112" s="187">
        <f t="shared" si="47"/>
        <v>0</v>
      </c>
      <c r="Y112" s="187">
        <f t="shared" si="48"/>
        <v>0</v>
      </c>
      <c r="Z112" s="187">
        <f t="shared" si="49"/>
        <v>0</v>
      </c>
      <c r="AA112" s="183">
        <f t="shared" si="50"/>
        <v>0</v>
      </c>
      <c r="AB112" s="187">
        <f t="shared" si="51"/>
        <v>0</v>
      </c>
      <c r="AC112" s="183">
        <f t="shared" si="52"/>
        <v>0</v>
      </c>
      <c r="AD112" s="188">
        <f t="shared" si="53"/>
        <v>0.16111111111240461</v>
      </c>
      <c r="AE112" s="188">
        <f t="shared" si="54"/>
        <v>0</v>
      </c>
      <c r="AF112" s="188">
        <f t="shared" si="55"/>
        <v>0.16111111111240461</v>
      </c>
      <c r="AG112" s="188">
        <f t="shared" si="56"/>
        <v>0</v>
      </c>
    </row>
    <row r="113" spans="2:33" ht="15" customHeight="1" x14ac:dyDescent="0.15">
      <c r="B113" s="174" t="s">
        <v>7</v>
      </c>
      <c r="C113" s="175" t="s">
        <v>15</v>
      </c>
      <c r="D113" s="176" t="str">
        <f t="shared" ref="D113:D138" si="57">IF(E113&lt;&gt;"",IF(K113&lt;&gt;"","C","O"),"")</f>
        <v>C</v>
      </c>
      <c r="E113" s="177" t="d">
        <v>2021-03-09T03:14:59.99999979045242400</v>
      </c>
      <c r="F113" s="178" t="s">
        <v>102</v>
      </c>
      <c r="G113" s="179">
        <v>150.81399999999999</v>
      </c>
      <c r="H113" s="179">
        <v>150.46</v>
      </c>
      <c r="I113" s="180">
        <f t="shared" ref="I113:I138" si="58">ABS(G113-H113)</f>
        <v>0.35399999999998499</v>
      </c>
      <c r="J113" s="179">
        <v>152.70099999999999</v>
      </c>
      <c r="K113" s="177" t="d">
        <v>2021-03-09T18:46:00.00000019557774075</v>
      </c>
      <c r="L113" s="179">
        <v>150.75899999999999</v>
      </c>
      <c r="M113" s="181">
        <f t="shared" ref="M113:M138" si="59">ROUND(IF(C113="L",(L113-G113),(G113-L113)),4)</f>
        <v>-5.5E-2</v>
      </c>
      <c r="N113" s="182">
        <f t="shared" ref="N113:N138" si="60">IFERROR(ROUND((M113/I113),2),"")</f>
        <v>-0.16</v>
      </c>
      <c r="O113" s="183">
        <f t="shared" ref="O113:O138" si="61">IF(D113="O",IF(N113&lt;0,N113,0),0)</f>
        <v>0</v>
      </c>
      <c r="P113" s="184">
        <f t="shared" ref="P113:P138" si="62">IF(N113&gt;= 0,N113,0)</f>
        <v>0</v>
      </c>
      <c r="Q113" s="184">
        <f t="shared" ref="Q113:Q138" si="63">IF(N113&lt;0,N113,0)</f>
        <v>-0.16</v>
      </c>
      <c r="R11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25125</v>
      </c>
      <c r="T11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25350</v>
      </c>
      <c r="U113" s="186">
        <f ca="1">IF(Tabla33610673486[[#This Row],[Equity]]&lt;Tabla33610673486[[#This Row],[Equity Peak]],(Tabla33610673486[[#This Row],[Equity Peak]]-Tabla33610673486[[#This Row],[Equity]])/Tabla33610673486[[#This Row],[Equity Peak]],"")</f>
        <v>8.8757396449704144E-3</v>
      </c>
      <c r="V113" s="187">
        <f t="shared" ref="V113:V138" si="64">IF(B113="FX",N113,0)</f>
        <v>-0.16</v>
      </c>
      <c r="W113" s="187">
        <f t="shared" ref="W113:W138" si="65">IF(D113="O",IF(V113&lt;0,V113,0),0)</f>
        <v>0</v>
      </c>
      <c r="X113" s="187">
        <f t="shared" ref="X113:X138" si="66">IF(B113="COM",N113,0)</f>
        <v>0</v>
      </c>
      <c r="Y113" s="187">
        <f t="shared" ref="Y113:Y138" si="67">IF(D113="O",IF(X113&lt;0,X113,0),0)</f>
        <v>0</v>
      </c>
      <c r="Z113" s="187">
        <f t="shared" ref="Z113:Z138" si="68">IF(B113="IND",N113,0)</f>
        <v>0</v>
      </c>
      <c r="AA113" s="183">
        <f t="shared" ref="AA113:AA138" si="69">IF(D113="O",IF(Z113&lt;0,Z113,0),0)</f>
        <v>0</v>
      </c>
      <c r="AB113" s="187">
        <f t="shared" ref="AB113:AB138" si="70">IF(B113="CRYPTO",N113,0)</f>
        <v>0</v>
      </c>
      <c r="AC113" s="183">
        <f t="shared" ref="AC113:AC138" si="71">IF(D113="O",IF(AB113&lt;0,AB113,0),0)</f>
        <v>0</v>
      </c>
      <c r="AD113" s="188">
        <f t="shared" ref="AD113:AD138" si="72">IF(K113&lt;&gt;"",K113-E113,0)</f>
        <v>0.64652777778246673</v>
      </c>
      <c r="AE113" s="188">
        <f t="shared" ref="AE113:AE138" si="73">IF(N113&gt;0,AD113,0)</f>
        <v>0</v>
      </c>
      <c r="AF113" s="188">
        <f t="shared" ref="AF113:AF138" si="74">IF(N113&lt;0,AD113,0)</f>
        <v>0.64652777778246673</v>
      </c>
      <c r="AG113" s="188">
        <f t="shared" ref="AG113:AG138" si="75">IF(N113=0,AD113,0)</f>
        <v>0</v>
      </c>
    </row>
    <row r="114" spans="2:33" ht="15" customHeight="1" x14ac:dyDescent="0.15">
      <c r="B114" s="174" t="s">
        <v>7</v>
      </c>
      <c r="C114" s="175" t="s">
        <v>15</v>
      </c>
      <c r="D114" s="176" t="str">
        <f t="shared" si="57"/>
        <v>C</v>
      </c>
      <c r="E114" s="177" t="d">
        <v>2021-03-04T15:00:00.000</v>
      </c>
      <c r="F114" s="178" t="s">
        <v>102</v>
      </c>
      <c r="G114" s="179">
        <v>149.80199999999999</v>
      </c>
      <c r="H114" s="179">
        <v>149.428</v>
      </c>
      <c r="I114" s="180">
        <f t="shared" si="58"/>
        <v>0.37399999999999523</v>
      </c>
      <c r="J114" s="179">
        <v>151.797</v>
      </c>
      <c r="K114" s="177" t="d">
        <v>2021-03-04T19:54:00.00000029336660775</v>
      </c>
      <c r="L114" s="179">
        <v>150.14099999999999</v>
      </c>
      <c r="M114" s="181">
        <f t="shared" si="59"/>
        <v>0.33900000000000002</v>
      </c>
      <c r="N114" s="182">
        <f t="shared" si="60"/>
        <v>0.91</v>
      </c>
      <c r="O114" s="183">
        <f t="shared" si="61"/>
        <v>0</v>
      </c>
      <c r="P114" s="184">
        <f t="shared" si="62"/>
        <v>0.91</v>
      </c>
      <c r="Q114" s="184">
        <f t="shared" si="63"/>
        <v>0</v>
      </c>
      <c r="R11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25165</v>
      </c>
      <c r="T11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25350</v>
      </c>
      <c r="U114" s="186">
        <f ca="1">IF(Tabla33610673486[[#This Row],[Equity]]&lt;Tabla33610673486[[#This Row],[Equity Peak]],(Tabla33610673486[[#This Row],[Equity Peak]]-Tabla33610673486[[#This Row],[Equity]])/Tabla33610673486[[#This Row],[Equity Peak]],"")</f>
        <v>7.2978303747534513E-3</v>
      </c>
      <c r="V114" s="187">
        <f t="shared" si="64"/>
        <v>0.91</v>
      </c>
      <c r="W114" s="187">
        <f t="shared" si="65"/>
        <v>0</v>
      </c>
      <c r="X114" s="187">
        <f t="shared" si="66"/>
        <v>0</v>
      </c>
      <c r="Y114" s="187">
        <f t="shared" si="67"/>
        <v>0</v>
      </c>
      <c r="Z114" s="187">
        <f t="shared" si="68"/>
        <v>0</v>
      </c>
      <c r="AA114" s="183">
        <f t="shared" si="69"/>
        <v>0</v>
      </c>
      <c r="AB114" s="187">
        <f t="shared" si="70"/>
        <v>0</v>
      </c>
      <c r="AC114" s="183">
        <f t="shared" si="71"/>
        <v>0</v>
      </c>
      <c r="AD114" s="188">
        <f t="shared" si="72"/>
        <v>0.20416666667006211</v>
      </c>
      <c r="AE114" s="188">
        <f t="shared" si="73"/>
        <v>0.20416666667006211</v>
      </c>
      <c r="AF114" s="188">
        <f t="shared" si="74"/>
        <v>0</v>
      </c>
      <c r="AG114" s="188">
        <f t="shared" si="75"/>
        <v>0</v>
      </c>
    </row>
    <row r="115" spans="2:33" ht="15" customHeight="1" x14ac:dyDescent="0.15">
      <c r="B115" s="174" t="s">
        <v>7</v>
      </c>
      <c r="C115" s="175" t="s">
        <v>15</v>
      </c>
      <c r="D115" s="176" t="str">
        <f t="shared" si="57"/>
        <v>C</v>
      </c>
      <c r="E115" s="177" t="d">
        <v>2021-03-03T09:30:00.00000020954757600</v>
      </c>
      <c r="F115" s="178" t="s">
        <v>102</v>
      </c>
      <c r="G115" s="179">
        <v>149.38300000000001</v>
      </c>
      <c r="H115" s="179">
        <v>149.04300000000001</v>
      </c>
      <c r="I115" s="180">
        <f t="shared" si="58"/>
        <v>0.34000000000000341</v>
      </c>
      <c r="J115" s="179">
        <v>151.19499999999999</v>
      </c>
      <c r="K115" s="177" t="d">
        <v>2021-03-03T15:07:00.00000011175870900</v>
      </c>
      <c r="L115" s="179">
        <v>149.16300000000001</v>
      </c>
      <c r="M115" s="181">
        <f t="shared" si="59"/>
        <v>-0.22</v>
      </c>
      <c r="N115" s="182">
        <f t="shared" si="60"/>
        <v>-0.65</v>
      </c>
      <c r="O115" s="183">
        <f t="shared" si="61"/>
        <v>0</v>
      </c>
      <c r="P115" s="184">
        <f t="shared" si="62"/>
        <v>0</v>
      </c>
      <c r="Q115" s="184">
        <f t="shared" si="63"/>
        <v>-0.65</v>
      </c>
      <c r="R11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24937.5</v>
      </c>
      <c r="T11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25350</v>
      </c>
      <c r="U115" s="186">
        <f ca="1">IF(Tabla33610673486[[#This Row],[Equity]]&lt;Tabla33610673486[[#This Row],[Equity Peak]],(Tabla33610673486[[#This Row],[Equity Peak]]-Tabla33610673486[[#This Row],[Equity]])/Tabla33610673486[[#This Row],[Equity Peak]],"")</f>
        <v>1.6272189349112426E-2</v>
      </c>
      <c r="V115" s="187">
        <f t="shared" si="64"/>
        <v>-0.65</v>
      </c>
      <c r="W115" s="187">
        <f t="shared" si="65"/>
        <v>0</v>
      </c>
      <c r="X115" s="187">
        <f t="shared" si="66"/>
        <v>0</v>
      </c>
      <c r="Y115" s="187">
        <f t="shared" si="67"/>
        <v>0</v>
      </c>
      <c r="Z115" s="187">
        <f t="shared" si="68"/>
        <v>0</v>
      </c>
      <c r="AA115" s="183">
        <f t="shared" si="69"/>
        <v>0</v>
      </c>
      <c r="AB115" s="187">
        <f t="shared" si="70"/>
        <v>0</v>
      </c>
      <c r="AC115" s="183">
        <f t="shared" si="71"/>
        <v>0</v>
      </c>
      <c r="AD115" s="188">
        <f t="shared" si="72"/>
        <v>0.23402777777664596</v>
      </c>
      <c r="AE115" s="188">
        <f t="shared" si="73"/>
        <v>0</v>
      </c>
      <c r="AF115" s="188">
        <f t="shared" si="74"/>
        <v>0.23402777777664596</v>
      </c>
      <c r="AG115" s="188">
        <f t="shared" si="75"/>
        <v>0</v>
      </c>
    </row>
    <row r="116" spans="2:33" ht="15" customHeight="1" x14ac:dyDescent="0.15">
      <c r="B116" s="174" t="s">
        <v>7</v>
      </c>
      <c r="C116" s="175" t="s">
        <v>13</v>
      </c>
      <c r="D116" s="176" t="str">
        <f t="shared" si="57"/>
        <v>C</v>
      </c>
      <c r="E116" s="177" t="d">
        <v>2021-02-26T09:59:59.99999979045242400</v>
      </c>
      <c r="F116" s="178" t="s">
        <v>102</v>
      </c>
      <c r="G116" s="179">
        <v>147.59</v>
      </c>
      <c r="H116" s="179">
        <v>148.041</v>
      </c>
      <c r="I116" s="180">
        <f t="shared" si="58"/>
        <v>0.45099999999999341</v>
      </c>
      <c r="J116" s="179">
        <v>145.18299999999999</v>
      </c>
      <c r="K116" s="177" t="d">
        <v>2021-02-26T10:44:59.99999979045242400</v>
      </c>
      <c r="L116" s="179">
        <v>148.041</v>
      </c>
      <c r="M116" s="181">
        <f t="shared" si="59"/>
        <v>-0.45100000000000001</v>
      </c>
      <c r="N116" s="182">
        <f t="shared" si="60"/>
        <v>-1</v>
      </c>
      <c r="O116" s="183">
        <f t="shared" si="61"/>
        <v>0</v>
      </c>
      <c r="P116" s="184">
        <f t="shared" si="62"/>
        <v>0</v>
      </c>
      <c r="Q116" s="184">
        <f t="shared" si="63"/>
        <v>-1</v>
      </c>
      <c r="R11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25100</v>
      </c>
      <c r="T11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25350</v>
      </c>
      <c r="U116" s="186">
        <f ca="1">IF(Tabla33610673486[[#This Row],[Equity]]&lt;Tabla33610673486[[#This Row],[Equity Peak]],(Tabla33610673486[[#This Row],[Equity Peak]]-Tabla33610673486[[#This Row],[Equity]])/Tabla33610673486[[#This Row],[Equity Peak]],"")</f>
        <v>9.8619329388560158E-3</v>
      </c>
      <c r="V116" s="187">
        <f t="shared" si="64"/>
        <v>-1</v>
      </c>
      <c r="W116" s="187">
        <f t="shared" si="65"/>
        <v>0</v>
      </c>
      <c r="X116" s="187">
        <f t="shared" si="66"/>
        <v>0</v>
      </c>
      <c r="Y116" s="187">
        <f t="shared" si="67"/>
        <v>0</v>
      </c>
      <c r="Z116" s="187">
        <f t="shared" si="68"/>
        <v>0</v>
      </c>
      <c r="AA116" s="183">
        <f t="shared" si="69"/>
        <v>0</v>
      </c>
      <c r="AB116" s="187">
        <f t="shared" si="70"/>
        <v>0</v>
      </c>
      <c r="AC116" s="183">
        <f t="shared" si="71"/>
        <v>0</v>
      </c>
      <c r="AD116" s="188">
        <f t="shared" si="72"/>
        <v>3.125E-2</v>
      </c>
      <c r="AE116" s="188">
        <f t="shared" si="73"/>
        <v>0</v>
      </c>
      <c r="AF116" s="188">
        <f t="shared" si="74"/>
        <v>3.125E-2</v>
      </c>
      <c r="AG116" s="188">
        <f t="shared" si="75"/>
        <v>0</v>
      </c>
    </row>
    <row r="117" spans="2:33" ht="15" customHeight="1" x14ac:dyDescent="0.15">
      <c r="B117" s="174" t="s">
        <v>7</v>
      </c>
      <c r="C117" s="175" t="s">
        <v>15</v>
      </c>
      <c r="D117" s="176" t="str">
        <f t="shared" si="57"/>
        <v>C</v>
      </c>
      <c r="E117" s="177" t="d">
        <v>2021-02-23T20:45:00.00000020954757600</v>
      </c>
      <c r="F117" s="178" t="s">
        <v>102</v>
      </c>
      <c r="G117" s="179">
        <v>148.441</v>
      </c>
      <c r="H117" s="179">
        <v>148.17699999999999</v>
      </c>
      <c r="I117" s="180">
        <f t="shared" si="58"/>
        <v>0.26400000000001</v>
      </c>
      <c r="J117" s="179">
        <v>149.84700000000001</v>
      </c>
      <c r="K117" s="177" t="d">
        <v>2021-02-24T03:21:59.99999990221113300</v>
      </c>
      <c r="L117" s="179">
        <v>149.84700000000001</v>
      </c>
      <c r="M117" s="181">
        <f t="shared" si="59"/>
        <v>1.4059999999999999</v>
      </c>
      <c r="N117" s="182">
        <f t="shared" si="60"/>
        <v>5.33</v>
      </c>
      <c r="O117" s="183">
        <f t="shared" si="61"/>
        <v>0</v>
      </c>
      <c r="P117" s="184">
        <f t="shared" si="62"/>
        <v>5.33</v>
      </c>
      <c r="Q117" s="184">
        <f t="shared" si="63"/>
        <v>0</v>
      </c>
      <c r="R11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25350</v>
      </c>
      <c r="T11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25350</v>
      </c>
      <c r="U117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17" s="187">
        <f t="shared" si="64"/>
        <v>5.33</v>
      </c>
      <c r="W117" s="187">
        <f t="shared" si="65"/>
        <v>0</v>
      </c>
      <c r="X117" s="187">
        <f t="shared" si="66"/>
        <v>0</v>
      </c>
      <c r="Y117" s="187">
        <f t="shared" si="67"/>
        <v>0</v>
      </c>
      <c r="Z117" s="187">
        <f t="shared" si="68"/>
        <v>0</v>
      </c>
      <c r="AA117" s="183">
        <f t="shared" si="69"/>
        <v>0</v>
      </c>
      <c r="AB117" s="187">
        <f t="shared" si="70"/>
        <v>0</v>
      </c>
      <c r="AC117" s="183">
        <f t="shared" si="71"/>
        <v>0</v>
      </c>
      <c r="AD117" s="188">
        <f t="shared" si="72"/>
        <v>0.27569444444088731</v>
      </c>
      <c r="AE117" s="188">
        <f t="shared" si="73"/>
        <v>0.27569444444088731</v>
      </c>
      <c r="AF117" s="188">
        <f t="shared" si="74"/>
        <v>0</v>
      </c>
      <c r="AG117" s="188">
        <f t="shared" si="75"/>
        <v>0</v>
      </c>
    </row>
    <row r="118" spans="2:33" ht="15" customHeight="1" x14ac:dyDescent="0.15">
      <c r="B118" s="174" t="s">
        <v>7</v>
      </c>
      <c r="C118" s="175" t="s">
        <v>15</v>
      </c>
      <c r="D118" s="176" t="str">
        <f t="shared" si="57"/>
        <v>C</v>
      </c>
      <c r="E118" s="177" t="d">
        <v>2021-02-23T12:00:00.000</v>
      </c>
      <c r="F118" s="178" t="s">
        <v>102</v>
      </c>
      <c r="G118" s="179">
        <v>148.33099999999999</v>
      </c>
      <c r="H118" s="179">
        <v>148.06100000000001</v>
      </c>
      <c r="I118" s="180">
        <f t="shared" si="58"/>
        <v>0.26999999999998181</v>
      </c>
      <c r="J118" s="179">
        <v>149.77000000000001</v>
      </c>
      <c r="K118" s="177" t="d">
        <v>2021-02-23T16:48:59.99999994412064550</v>
      </c>
      <c r="L118" s="179">
        <v>148.06100000000001</v>
      </c>
      <c r="M118" s="181">
        <f t="shared" si="59"/>
        <v>-0.27</v>
      </c>
      <c r="N118" s="182">
        <f t="shared" si="60"/>
        <v>-1</v>
      </c>
      <c r="O118" s="183">
        <f t="shared" si="61"/>
        <v>0</v>
      </c>
      <c r="P118" s="184">
        <f t="shared" si="62"/>
        <v>0</v>
      </c>
      <c r="Q118" s="184">
        <f t="shared" si="63"/>
        <v>-1</v>
      </c>
      <c r="R11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24017.5</v>
      </c>
      <c r="T11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25180</v>
      </c>
      <c r="U118" s="186">
        <f ca="1">IF(Tabla33610673486[[#This Row],[Equity]]&lt;Tabla33610673486[[#This Row],[Equity Peak]],(Tabla33610673486[[#This Row],[Equity Peak]]-Tabla33610673486[[#This Row],[Equity]])/Tabla33610673486[[#This Row],[Equity Peak]],"")</f>
        <v>4.6167593328038124E-2</v>
      </c>
      <c r="V118" s="187">
        <f t="shared" si="64"/>
        <v>-1</v>
      </c>
      <c r="W118" s="187">
        <f t="shared" si="65"/>
        <v>0</v>
      </c>
      <c r="X118" s="187">
        <f t="shared" si="66"/>
        <v>0</v>
      </c>
      <c r="Y118" s="187">
        <f t="shared" si="67"/>
        <v>0</v>
      </c>
      <c r="Z118" s="187">
        <f t="shared" si="68"/>
        <v>0</v>
      </c>
      <c r="AA118" s="183">
        <f t="shared" si="69"/>
        <v>0</v>
      </c>
      <c r="AB118" s="187">
        <f t="shared" si="70"/>
        <v>0</v>
      </c>
      <c r="AC118" s="183">
        <f t="shared" si="71"/>
        <v>0</v>
      </c>
      <c r="AD118" s="188">
        <f t="shared" si="72"/>
        <v>0.20069444444379769</v>
      </c>
      <c r="AE118" s="188">
        <f t="shared" si="73"/>
        <v>0</v>
      </c>
      <c r="AF118" s="188">
        <f t="shared" si="74"/>
        <v>0.20069444444379769</v>
      </c>
      <c r="AG118" s="188">
        <f t="shared" si="75"/>
        <v>0</v>
      </c>
    </row>
    <row r="119" spans="2:33" ht="15" customHeight="1" x14ac:dyDescent="0.15">
      <c r="B119" s="174" t="s">
        <v>7</v>
      </c>
      <c r="C119" s="175" t="s">
        <v>15</v>
      </c>
      <c r="D119" s="176" t="str">
        <f t="shared" si="57"/>
        <v>C</v>
      </c>
      <c r="E119" s="177" t="d">
        <v>2021-02-22T03:30:00.00000020954757600</v>
      </c>
      <c r="F119" s="178" t="s">
        <v>102</v>
      </c>
      <c r="G119" s="179">
        <v>148.19499999999999</v>
      </c>
      <c r="H119" s="179">
        <v>147.91999999999999</v>
      </c>
      <c r="I119" s="180">
        <f t="shared" si="58"/>
        <v>0.27500000000000568</v>
      </c>
      <c r="J119" s="179">
        <v>149.66399999999999</v>
      </c>
      <c r="K119" s="177" t="d">
        <v>2021-02-22T09:07:00.00000011175870900</v>
      </c>
      <c r="L119" s="179">
        <v>147.91999999999999</v>
      </c>
      <c r="M119" s="181">
        <f t="shared" si="59"/>
        <v>-0.27500000000000002</v>
      </c>
      <c r="N119" s="182">
        <f t="shared" si="60"/>
        <v>-1</v>
      </c>
      <c r="O119" s="183">
        <f t="shared" si="61"/>
        <v>0</v>
      </c>
      <c r="P119" s="184">
        <f t="shared" si="62"/>
        <v>0</v>
      </c>
      <c r="Q119" s="184">
        <f t="shared" si="63"/>
        <v>-1</v>
      </c>
      <c r="R11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1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24267.5</v>
      </c>
      <c r="T11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25180</v>
      </c>
      <c r="U119" s="186">
        <f ca="1">IF(Tabla33610673486[[#This Row],[Equity]]&lt;Tabla33610673486[[#This Row],[Equity Peak]],(Tabla33610673486[[#This Row],[Equity Peak]]-Tabla33610673486[[#This Row],[Equity]])/Tabla33610673486[[#This Row],[Equity Peak]],"")</f>
        <v>3.623907863383638E-2</v>
      </c>
      <c r="V119" s="187">
        <f t="shared" si="64"/>
        <v>-1</v>
      </c>
      <c r="W119" s="187">
        <f t="shared" si="65"/>
        <v>0</v>
      </c>
      <c r="X119" s="187">
        <f t="shared" si="66"/>
        <v>0</v>
      </c>
      <c r="Y119" s="187">
        <f t="shared" si="67"/>
        <v>0</v>
      </c>
      <c r="Z119" s="187">
        <f t="shared" si="68"/>
        <v>0</v>
      </c>
      <c r="AA119" s="183">
        <f t="shared" si="69"/>
        <v>0</v>
      </c>
      <c r="AB119" s="187">
        <f t="shared" si="70"/>
        <v>0</v>
      </c>
      <c r="AC119" s="183">
        <f t="shared" si="71"/>
        <v>0</v>
      </c>
      <c r="AD119" s="188">
        <f t="shared" si="72"/>
        <v>0.23402777777664596</v>
      </c>
      <c r="AE119" s="188">
        <f t="shared" si="73"/>
        <v>0</v>
      </c>
      <c r="AF119" s="188">
        <f t="shared" si="74"/>
        <v>0.23402777777664596</v>
      </c>
      <c r="AG119" s="188">
        <f t="shared" si="75"/>
        <v>0</v>
      </c>
    </row>
    <row r="120" spans="2:33" ht="15" customHeight="1" x14ac:dyDescent="0.15">
      <c r="B120" s="174" t="s">
        <v>7</v>
      </c>
      <c r="C120" s="175" t="s">
        <v>15</v>
      </c>
      <c r="D120" s="176" t="str">
        <f t="shared" si="57"/>
        <v>C</v>
      </c>
      <c r="E120" s="177" t="d">
        <v>2021-02-19T15:45:00.000</v>
      </c>
      <c r="F120" s="178" t="s">
        <v>102</v>
      </c>
      <c r="G120" s="179">
        <v>147.97499999999999</v>
      </c>
      <c r="H120" s="179">
        <v>147.68899999999999</v>
      </c>
      <c r="I120" s="180">
        <f t="shared" si="58"/>
        <v>0.28600000000000136</v>
      </c>
      <c r="J120" s="179">
        <v>149.501</v>
      </c>
      <c r="K120" s="177" t="d">
        <v>2021-02-19T22:09:00.00000029336660775</v>
      </c>
      <c r="L120" s="179">
        <v>147.75</v>
      </c>
      <c r="M120" s="181">
        <f t="shared" si="59"/>
        <v>-0.22500000000000001</v>
      </c>
      <c r="N120" s="182">
        <f t="shared" si="60"/>
        <v>-0.79</v>
      </c>
      <c r="O120" s="183">
        <f t="shared" si="61"/>
        <v>0</v>
      </c>
      <c r="P120" s="184">
        <f t="shared" si="62"/>
        <v>0</v>
      </c>
      <c r="Q120" s="184">
        <f t="shared" si="63"/>
        <v>-0.79</v>
      </c>
      <c r="R12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24517.5</v>
      </c>
      <c r="T12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25180</v>
      </c>
      <c r="U120" s="186">
        <f ca="1">IF(Tabla33610673486[[#This Row],[Equity]]&lt;Tabla33610673486[[#This Row],[Equity Peak]],(Tabla33610673486[[#This Row],[Equity Peak]]-Tabla33610673486[[#This Row],[Equity]])/Tabla33610673486[[#This Row],[Equity Peak]],"")</f>
        <v>2.6310563939634629E-2</v>
      </c>
      <c r="V120" s="187">
        <f t="shared" si="64"/>
        <v>-0.79</v>
      </c>
      <c r="W120" s="187">
        <f t="shared" si="65"/>
        <v>0</v>
      </c>
      <c r="X120" s="187">
        <f t="shared" si="66"/>
        <v>0</v>
      </c>
      <c r="Y120" s="187">
        <f t="shared" si="67"/>
        <v>0</v>
      </c>
      <c r="Z120" s="187">
        <f t="shared" si="68"/>
        <v>0</v>
      </c>
      <c r="AA120" s="183">
        <f t="shared" si="69"/>
        <v>0</v>
      </c>
      <c r="AB120" s="187">
        <f t="shared" si="70"/>
        <v>0</v>
      </c>
      <c r="AC120" s="183">
        <f t="shared" si="71"/>
        <v>0</v>
      </c>
      <c r="AD120" s="188">
        <f t="shared" si="72"/>
        <v>0.26666666667006211</v>
      </c>
      <c r="AE120" s="188">
        <f t="shared" si="73"/>
        <v>0</v>
      </c>
      <c r="AF120" s="188">
        <f t="shared" si="74"/>
        <v>0.26666666667006211</v>
      </c>
      <c r="AG120" s="188">
        <f t="shared" si="75"/>
        <v>0</v>
      </c>
    </row>
    <row r="121" spans="2:33" ht="15" customHeight="1" x14ac:dyDescent="0.15">
      <c r="B121" s="174" t="s">
        <v>7</v>
      </c>
      <c r="C121" s="175" t="s">
        <v>15</v>
      </c>
      <c r="D121" s="176" t="str">
        <f t="shared" si="57"/>
        <v>C</v>
      </c>
      <c r="E121" s="177" t="d">
        <v>2021-02-18T15:45:00.000</v>
      </c>
      <c r="F121" s="178" t="s">
        <v>102</v>
      </c>
      <c r="G121" s="179">
        <v>147.73099999999999</v>
      </c>
      <c r="H121" s="179">
        <v>147.434</v>
      </c>
      <c r="I121" s="180">
        <f t="shared" si="58"/>
        <v>0.29699999999999704</v>
      </c>
      <c r="J121" s="179">
        <v>149.315</v>
      </c>
      <c r="K121" s="177" t="d">
        <v>2021-02-18T17:23:00.00000030733644975</v>
      </c>
      <c r="L121" s="179">
        <v>147.434</v>
      </c>
      <c r="M121" s="181">
        <f t="shared" si="59"/>
        <v>-0.29699999999999999</v>
      </c>
      <c r="N121" s="182">
        <f t="shared" si="60"/>
        <v>-1</v>
      </c>
      <c r="O121" s="183">
        <f t="shared" si="61"/>
        <v>0</v>
      </c>
      <c r="P121" s="184">
        <f t="shared" si="62"/>
        <v>0</v>
      </c>
      <c r="Q121" s="184">
        <f t="shared" si="63"/>
        <v>-1</v>
      </c>
      <c r="R12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24715</v>
      </c>
      <c r="T12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25180</v>
      </c>
      <c r="U121" s="186">
        <f ca="1">IF(Tabla33610673486[[#This Row],[Equity]]&lt;Tabla33610673486[[#This Row],[Equity Peak]],(Tabla33610673486[[#This Row],[Equity Peak]]-Tabla33610673486[[#This Row],[Equity]])/Tabla33610673486[[#This Row],[Equity Peak]],"")</f>
        <v>1.8467037331215252E-2</v>
      </c>
      <c r="V121" s="187">
        <f t="shared" si="64"/>
        <v>-1</v>
      </c>
      <c r="W121" s="187">
        <f t="shared" si="65"/>
        <v>0</v>
      </c>
      <c r="X121" s="187">
        <f t="shared" si="66"/>
        <v>0</v>
      </c>
      <c r="Y121" s="187">
        <f t="shared" si="67"/>
        <v>0</v>
      </c>
      <c r="Z121" s="187">
        <f t="shared" si="68"/>
        <v>0</v>
      </c>
      <c r="AA121" s="183">
        <f t="shared" si="69"/>
        <v>0</v>
      </c>
      <c r="AB121" s="187">
        <f t="shared" si="70"/>
        <v>0</v>
      </c>
      <c r="AC121" s="183">
        <f t="shared" si="71"/>
        <v>0</v>
      </c>
      <c r="AD121" s="188">
        <f t="shared" si="72"/>
        <v>6.805555555911269E-2</v>
      </c>
      <c r="AE121" s="188">
        <f t="shared" si="73"/>
        <v>0</v>
      </c>
      <c r="AF121" s="188">
        <f t="shared" si="74"/>
        <v>6.805555555911269E-2</v>
      </c>
      <c r="AG121" s="188">
        <f t="shared" si="75"/>
        <v>0</v>
      </c>
    </row>
    <row r="122" spans="2:33" ht="15" customHeight="1" x14ac:dyDescent="0.15">
      <c r="B122" s="174" t="s">
        <v>7</v>
      </c>
      <c r="C122" s="175" t="s">
        <v>15</v>
      </c>
      <c r="D122" s="176" t="str">
        <f t="shared" si="57"/>
        <v>C</v>
      </c>
      <c r="E122" s="177" t="d">
        <v>2021-02-16T19:30:00.000</v>
      </c>
      <c r="F122" s="178" t="s">
        <v>102</v>
      </c>
      <c r="G122" s="179">
        <v>147.34899999999999</v>
      </c>
      <c r="H122" s="179">
        <v>147.06700000000001</v>
      </c>
      <c r="I122" s="180">
        <f t="shared" si="58"/>
        <v>0.28199999999998226</v>
      </c>
      <c r="J122" s="179">
        <v>148.852</v>
      </c>
      <c r="K122" s="177" t="d">
        <v>2021-02-17T03:30:59.99999977648258200</v>
      </c>
      <c r="L122" s="179">
        <v>147.107</v>
      </c>
      <c r="M122" s="181">
        <f t="shared" si="59"/>
        <v>-0.24199999999999999</v>
      </c>
      <c r="N122" s="182">
        <f t="shared" si="60"/>
        <v>-0.86</v>
      </c>
      <c r="O122" s="183">
        <f t="shared" si="61"/>
        <v>0</v>
      </c>
      <c r="P122" s="184">
        <f t="shared" si="62"/>
        <v>0</v>
      </c>
      <c r="Q122" s="184">
        <f t="shared" si="63"/>
        <v>-0.86</v>
      </c>
      <c r="R12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24965</v>
      </c>
      <c r="T12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25180</v>
      </c>
      <c r="U122" s="186">
        <f ca="1">IF(Tabla33610673486[[#This Row],[Equity]]&lt;Tabla33610673486[[#This Row],[Equity Peak]],(Tabla33610673486[[#This Row],[Equity Peak]]-Tabla33610673486[[#This Row],[Equity]])/Tabla33610673486[[#This Row],[Equity Peak]],"")</f>
        <v>8.5385226370135025E-3</v>
      </c>
      <c r="V122" s="187">
        <f t="shared" si="64"/>
        <v>-0.86</v>
      </c>
      <c r="W122" s="187">
        <f t="shared" si="65"/>
        <v>0</v>
      </c>
      <c r="X122" s="187">
        <f t="shared" si="66"/>
        <v>0</v>
      </c>
      <c r="Y122" s="187">
        <f t="shared" si="67"/>
        <v>0</v>
      </c>
      <c r="Z122" s="187">
        <f t="shared" si="68"/>
        <v>0</v>
      </c>
      <c r="AA122" s="183">
        <f t="shared" si="69"/>
        <v>0</v>
      </c>
      <c r="AB122" s="187">
        <f t="shared" si="70"/>
        <v>0</v>
      </c>
      <c r="AC122" s="183">
        <f t="shared" si="71"/>
        <v>0</v>
      </c>
      <c r="AD122" s="188">
        <f t="shared" si="72"/>
        <v>0.33402777777519077</v>
      </c>
      <c r="AE122" s="188">
        <f t="shared" si="73"/>
        <v>0</v>
      </c>
      <c r="AF122" s="188">
        <f t="shared" si="74"/>
        <v>0.33402777777519077</v>
      </c>
      <c r="AG122" s="188">
        <f t="shared" si="75"/>
        <v>0</v>
      </c>
    </row>
    <row r="123" spans="2:33" ht="15" customHeight="1" x14ac:dyDescent="0.15">
      <c r="B123" s="174" t="s">
        <v>7</v>
      </c>
      <c r="C123" s="175" t="s">
        <v>15</v>
      </c>
      <c r="D123" s="176" t="str">
        <f t="shared" si="57"/>
        <v>C</v>
      </c>
      <c r="E123" s="177" t="d">
        <v>2021-02-15T01:15:00.00000020954757600</v>
      </c>
      <c r="F123" s="178" t="s">
        <v>102</v>
      </c>
      <c r="G123" s="179">
        <v>145.51499999999999</v>
      </c>
      <c r="H123" s="179">
        <v>145.30699999999999</v>
      </c>
      <c r="I123" s="180">
        <f t="shared" si="58"/>
        <v>0.20799999999999841</v>
      </c>
      <c r="J123" s="179">
        <v>146.626</v>
      </c>
      <c r="K123" s="177" t="d">
        <v>2021-02-15T12:17:59.99999974854290475</v>
      </c>
      <c r="L123" s="179">
        <v>146.626</v>
      </c>
      <c r="M123" s="181">
        <f t="shared" si="59"/>
        <v>1.111</v>
      </c>
      <c r="N123" s="182">
        <f t="shared" si="60"/>
        <v>5.34</v>
      </c>
      <c r="O123" s="183">
        <f t="shared" si="61"/>
        <v>0</v>
      </c>
      <c r="P123" s="184">
        <f t="shared" si="62"/>
        <v>5.34</v>
      </c>
      <c r="Q123" s="184">
        <f t="shared" si="63"/>
        <v>0</v>
      </c>
      <c r="R12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25180</v>
      </c>
      <c r="T12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25180</v>
      </c>
      <c r="U123" s="186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23" s="187">
        <f t="shared" si="64"/>
        <v>5.34</v>
      </c>
      <c r="W123" s="187">
        <f t="shared" si="65"/>
        <v>0</v>
      </c>
      <c r="X123" s="187">
        <f t="shared" si="66"/>
        <v>0</v>
      </c>
      <c r="Y123" s="187">
        <f t="shared" si="67"/>
        <v>0</v>
      </c>
      <c r="Z123" s="187">
        <f t="shared" si="68"/>
        <v>0</v>
      </c>
      <c r="AA123" s="183">
        <f t="shared" si="69"/>
        <v>0</v>
      </c>
      <c r="AB123" s="187">
        <f t="shared" si="70"/>
        <v>0</v>
      </c>
      <c r="AC123" s="183">
        <f t="shared" si="71"/>
        <v>0</v>
      </c>
      <c r="AD123" s="188">
        <f t="shared" si="72"/>
        <v>0.46041666666133096</v>
      </c>
      <c r="AE123" s="188">
        <f t="shared" si="73"/>
        <v>0.46041666666133096</v>
      </c>
      <c r="AF123" s="188">
        <f t="shared" si="74"/>
        <v>0</v>
      </c>
      <c r="AG123" s="188">
        <f t="shared" si="75"/>
        <v>0</v>
      </c>
    </row>
    <row r="124" spans="2:33" ht="15" customHeight="1" x14ac:dyDescent="0.15">
      <c r="B124" s="174" t="s">
        <v>7</v>
      </c>
      <c r="C124" s="175" t="s">
        <v>15</v>
      </c>
      <c r="D124" s="176" t="str">
        <f t="shared" si="57"/>
        <v>C</v>
      </c>
      <c r="E124" s="177" t="d">
        <v>2021-02-12T16:44:59.99999979045242400</v>
      </c>
      <c r="F124" s="178" t="s">
        <v>102</v>
      </c>
      <c r="G124" s="179">
        <v>145.25299999999999</v>
      </c>
      <c r="H124" s="179">
        <v>145.03899999999999</v>
      </c>
      <c r="I124" s="180">
        <f t="shared" si="58"/>
        <v>0.21399999999999864</v>
      </c>
      <c r="J124" s="179">
        <v>146.39599999999999</v>
      </c>
      <c r="K124" s="177" t="d">
        <v>2021-02-12T23:54:00.00000008381903175</v>
      </c>
      <c r="L124" s="179">
        <v>145.16999999999999</v>
      </c>
      <c r="M124" s="181">
        <f t="shared" si="59"/>
        <v>-8.3000000000000004E-2</v>
      </c>
      <c r="N124" s="182">
        <f t="shared" si="60"/>
        <v>-0.39</v>
      </c>
      <c r="O124" s="183">
        <f t="shared" si="61"/>
        <v>0</v>
      </c>
      <c r="P124" s="184">
        <f t="shared" si="62"/>
        <v>0</v>
      </c>
      <c r="Q124" s="184">
        <f t="shared" si="63"/>
        <v>-0.39</v>
      </c>
      <c r="R12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23845</v>
      </c>
      <c r="T12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25000</v>
      </c>
      <c r="U124" s="186">
        <f ca="1">IF(Tabla33610673486[[#This Row],[Equity]]&lt;Tabla33610673486[[#This Row],[Equity Peak]],(Tabla33610673486[[#This Row],[Equity Peak]]-Tabla33610673486[[#This Row],[Equity]])/Tabla33610673486[[#This Row],[Equity Peak]],"")</f>
        <v>4.6199999999999998E-2</v>
      </c>
      <c r="V124" s="187">
        <f t="shared" si="64"/>
        <v>-0.39</v>
      </c>
      <c r="W124" s="187">
        <f t="shared" si="65"/>
        <v>0</v>
      </c>
      <c r="X124" s="187">
        <f t="shared" si="66"/>
        <v>0</v>
      </c>
      <c r="Y124" s="187">
        <f t="shared" si="67"/>
        <v>0</v>
      </c>
      <c r="Z124" s="187">
        <f t="shared" si="68"/>
        <v>0</v>
      </c>
      <c r="AA124" s="183">
        <f t="shared" si="69"/>
        <v>0</v>
      </c>
      <c r="AB124" s="187">
        <f t="shared" si="70"/>
        <v>0</v>
      </c>
      <c r="AC124" s="183">
        <f t="shared" si="71"/>
        <v>0</v>
      </c>
      <c r="AD124" s="188">
        <f t="shared" si="72"/>
        <v>0.29791666667006211</v>
      </c>
      <c r="AE124" s="188">
        <f t="shared" si="73"/>
        <v>0</v>
      </c>
      <c r="AF124" s="188">
        <f t="shared" si="74"/>
        <v>0.29791666667006211</v>
      </c>
      <c r="AG124" s="188">
        <f t="shared" si="75"/>
        <v>0</v>
      </c>
    </row>
    <row r="125" spans="2:33" ht="15" customHeight="1" x14ac:dyDescent="0.15">
      <c r="B125" s="174" t="s">
        <v>7</v>
      </c>
      <c r="C125" s="175" t="s">
        <v>15</v>
      </c>
      <c r="D125" s="176" t="str">
        <f t="shared" si="57"/>
        <v>C</v>
      </c>
      <c r="E125" s="177" t="d">
        <v>2021-02-10T12:00:00.000</v>
      </c>
      <c r="F125" s="178" t="s">
        <v>102</v>
      </c>
      <c r="G125" s="179">
        <v>144.99</v>
      </c>
      <c r="H125" s="179">
        <v>144.76900000000001</v>
      </c>
      <c r="I125" s="180">
        <f t="shared" si="58"/>
        <v>0.22100000000000364</v>
      </c>
      <c r="J125" s="179">
        <v>146.16800000000001</v>
      </c>
      <c r="K125" s="177" t="d">
        <v>2021-02-10T22:15:00.00000020954757600</v>
      </c>
      <c r="L125" s="179">
        <v>144.76900000000001</v>
      </c>
      <c r="M125" s="181">
        <f t="shared" si="59"/>
        <v>-0.221</v>
      </c>
      <c r="N125" s="182">
        <f t="shared" si="60"/>
        <v>-1</v>
      </c>
      <c r="O125" s="183">
        <f t="shared" si="61"/>
        <v>0</v>
      </c>
      <c r="P125" s="184">
        <f t="shared" si="62"/>
        <v>0</v>
      </c>
      <c r="Q125" s="184">
        <f t="shared" si="63"/>
        <v>-1</v>
      </c>
      <c r="R12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23942.5</v>
      </c>
      <c r="T12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25000</v>
      </c>
      <c r="U125" s="186">
        <f ca="1">IF(Tabla33610673486[[#This Row],[Equity]]&lt;Tabla33610673486[[#This Row],[Equity Peak]],(Tabla33610673486[[#This Row],[Equity Peak]]-Tabla33610673486[[#This Row],[Equity]])/Tabla33610673486[[#This Row],[Equity Peak]],"")</f>
        <v>4.2299999999999997E-2</v>
      </c>
      <c r="V125" s="187">
        <f t="shared" si="64"/>
        <v>-1</v>
      </c>
      <c r="W125" s="187">
        <f t="shared" si="65"/>
        <v>0</v>
      </c>
      <c r="X125" s="187">
        <f t="shared" si="66"/>
        <v>0</v>
      </c>
      <c r="Y125" s="187">
        <f t="shared" si="67"/>
        <v>0</v>
      </c>
      <c r="Z125" s="187">
        <f t="shared" si="68"/>
        <v>0</v>
      </c>
      <c r="AA125" s="183">
        <f t="shared" si="69"/>
        <v>0</v>
      </c>
      <c r="AB125" s="187">
        <f t="shared" si="70"/>
        <v>0</v>
      </c>
      <c r="AC125" s="183">
        <f t="shared" si="71"/>
        <v>0</v>
      </c>
      <c r="AD125" s="188">
        <f t="shared" si="72"/>
        <v>0.42708333333575865</v>
      </c>
      <c r="AE125" s="188">
        <f t="shared" si="73"/>
        <v>0</v>
      </c>
      <c r="AF125" s="188">
        <f t="shared" si="74"/>
        <v>0.42708333333575865</v>
      </c>
      <c r="AG125" s="188">
        <f t="shared" si="75"/>
        <v>0</v>
      </c>
    </row>
    <row r="126" spans="2:33" ht="15" customHeight="1" x14ac:dyDescent="0.15">
      <c r="B126" s="174" t="s">
        <v>7</v>
      </c>
      <c r="C126" s="175" t="s">
        <v>15</v>
      </c>
      <c r="D126" s="176" t="str">
        <f t="shared" si="57"/>
        <v>C</v>
      </c>
      <c r="E126" s="177" t="d">
        <v>2021-02-04T15:45:00.000</v>
      </c>
      <c r="F126" s="178" t="s">
        <v>102</v>
      </c>
      <c r="G126" s="179">
        <v>144.173</v>
      </c>
      <c r="H126" s="179">
        <v>143.88900000000001</v>
      </c>
      <c r="I126" s="180">
        <f t="shared" si="58"/>
        <v>0.28399999999999181</v>
      </c>
      <c r="J126" s="179">
        <v>145.68799999999999</v>
      </c>
      <c r="K126" s="177" t="d">
        <v>2021-02-05T23:54:00.00000008381903175</v>
      </c>
      <c r="L126" s="179">
        <v>144.47399999999999</v>
      </c>
      <c r="M126" s="181">
        <f t="shared" si="59"/>
        <v>0.30099999999999999</v>
      </c>
      <c r="N126" s="182">
        <f t="shared" si="60"/>
        <v>1.06</v>
      </c>
      <c r="O126" s="183">
        <f t="shared" si="61"/>
        <v>0</v>
      </c>
      <c r="P126" s="184">
        <f t="shared" si="62"/>
        <v>1.06</v>
      </c>
      <c r="Q126" s="184">
        <f t="shared" si="63"/>
        <v>0</v>
      </c>
      <c r="R12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24192.5</v>
      </c>
      <c r="T12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25000</v>
      </c>
      <c r="U126" s="186">
        <f ca="1">IF(Tabla33610673486[[#This Row],[Equity]]&lt;Tabla33610673486[[#This Row],[Equity Peak]],(Tabla33610673486[[#This Row],[Equity Peak]]-Tabla33610673486[[#This Row],[Equity]])/Tabla33610673486[[#This Row],[Equity Peak]],"")</f>
        <v>3.2300000000000002E-2</v>
      </c>
      <c r="V126" s="187">
        <f t="shared" si="64"/>
        <v>1.06</v>
      </c>
      <c r="W126" s="187">
        <f t="shared" si="65"/>
        <v>0</v>
      </c>
      <c r="X126" s="187">
        <f t="shared" si="66"/>
        <v>0</v>
      </c>
      <c r="Y126" s="187">
        <f t="shared" si="67"/>
        <v>0</v>
      </c>
      <c r="Z126" s="187">
        <f t="shared" si="68"/>
        <v>0</v>
      </c>
      <c r="AA126" s="183">
        <f t="shared" si="69"/>
        <v>0</v>
      </c>
      <c r="AB126" s="187">
        <f t="shared" si="70"/>
        <v>0</v>
      </c>
      <c r="AC126" s="183">
        <f t="shared" si="71"/>
        <v>0</v>
      </c>
      <c r="AD126" s="188">
        <f t="shared" si="72"/>
        <v>1.3395833333343035</v>
      </c>
      <c r="AE126" s="188">
        <f t="shared" si="73"/>
        <v>1.3395833333343035</v>
      </c>
      <c r="AF126" s="188">
        <f t="shared" si="74"/>
        <v>0</v>
      </c>
      <c r="AG126" s="188">
        <f t="shared" si="75"/>
        <v>0</v>
      </c>
    </row>
    <row r="127" spans="2:33" ht="15" customHeight="1" x14ac:dyDescent="0.15">
      <c r="B127" s="174" t="s">
        <v>7</v>
      </c>
      <c r="C127" s="175" t="s">
        <v>13</v>
      </c>
      <c r="D127" s="176" t="str">
        <f t="shared" si="57"/>
        <v>C</v>
      </c>
      <c r="E127" s="177" t="d">
        <v>2021-02-04T05:45:00.00000020954757600</v>
      </c>
      <c r="F127" s="178" t="s">
        <v>102</v>
      </c>
      <c r="G127" s="179">
        <v>143.05000000000001</v>
      </c>
      <c r="H127" s="179">
        <v>143.27600000000001</v>
      </c>
      <c r="I127" s="180">
        <f t="shared" si="58"/>
        <v>0.22599999999999909</v>
      </c>
      <c r="J127" s="179">
        <v>141.84200000000001</v>
      </c>
      <c r="K127" s="177" t="d">
        <v>2021-02-04T14:03:59.999999734573066125</v>
      </c>
      <c r="L127" s="179">
        <v>143.21</v>
      </c>
      <c r="M127" s="181">
        <f t="shared" si="59"/>
        <v>-0.16</v>
      </c>
      <c r="N127" s="182">
        <f t="shared" si="60"/>
        <v>-0.71</v>
      </c>
      <c r="O127" s="183">
        <f t="shared" si="61"/>
        <v>0</v>
      </c>
      <c r="P127" s="184">
        <f t="shared" si="62"/>
        <v>0</v>
      </c>
      <c r="Q127" s="184">
        <f t="shared" si="63"/>
        <v>-0.71</v>
      </c>
      <c r="R12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23927.5</v>
      </c>
      <c r="T12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25000</v>
      </c>
      <c r="U127" s="186">
        <f ca="1">IF(Tabla33610673486[[#This Row],[Equity]]&lt;Tabla33610673486[[#This Row],[Equity Peak]],(Tabla33610673486[[#This Row],[Equity Peak]]-Tabla33610673486[[#This Row],[Equity]])/Tabla33610673486[[#This Row],[Equity Peak]],"")</f>
        <v>4.2900000000000001E-2</v>
      </c>
      <c r="V127" s="187">
        <f t="shared" si="64"/>
        <v>-0.71</v>
      </c>
      <c r="W127" s="187">
        <f t="shared" si="65"/>
        <v>0</v>
      </c>
      <c r="X127" s="187">
        <f t="shared" si="66"/>
        <v>0</v>
      </c>
      <c r="Y127" s="187">
        <f t="shared" si="67"/>
        <v>0</v>
      </c>
      <c r="Z127" s="187">
        <f t="shared" si="68"/>
        <v>0</v>
      </c>
      <c r="AA127" s="183">
        <f t="shared" si="69"/>
        <v>0</v>
      </c>
      <c r="AB127" s="187">
        <f t="shared" si="70"/>
        <v>0</v>
      </c>
      <c r="AC127" s="183">
        <f t="shared" si="71"/>
        <v>0</v>
      </c>
      <c r="AD127" s="188">
        <f t="shared" si="72"/>
        <v>0.34652777777228039</v>
      </c>
      <c r="AE127" s="188">
        <f t="shared" si="73"/>
        <v>0</v>
      </c>
      <c r="AF127" s="188">
        <f t="shared" si="74"/>
        <v>0.34652777777228039</v>
      </c>
      <c r="AG127" s="188">
        <f t="shared" si="75"/>
        <v>0</v>
      </c>
    </row>
    <row r="128" spans="2:33" ht="15" customHeight="1" x14ac:dyDescent="0.15">
      <c r="B128" s="174" t="s">
        <v>7</v>
      </c>
      <c r="C128" s="175" t="s">
        <v>15</v>
      </c>
      <c r="D128" s="176" t="str">
        <f t="shared" si="57"/>
        <v>C</v>
      </c>
      <c r="E128" s="177" t="d">
        <v>2021-01-28T16:44:59.99999979045242400</v>
      </c>
      <c r="F128" s="178" t="s">
        <v>102</v>
      </c>
      <c r="G128" s="179">
        <v>143.06399999999999</v>
      </c>
      <c r="H128" s="179">
        <v>142.72800000000001</v>
      </c>
      <c r="I128" s="180">
        <f t="shared" si="58"/>
        <v>0.33599999999998431</v>
      </c>
      <c r="J128" s="179">
        <v>144.85400000000001</v>
      </c>
      <c r="K128" s="177" t="d">
        <v>2021-01-29T19:50:59.99999970663339225</v>
      </c>
      <c r="L128" s="179">
        <v>143.48699999999999</v>
      </c>
      <c r="M128" s="181">
        <f t="shared" si="59"/>
        <v>0.42299999999999999</v>
      </c>
      <c r="N128" s="182">
        <f t="shared" si="60"/>
        <v>1.26</v>
      </c>
      <c r="O128" s="183">
        <f t="shared" si="61"/>
        <v>0</v>
      </c>
      <c r="P128" s="184">
        <f t="shared" si="62"/>
        <v>1.26</v>
      </c>
      <c r="Q128" s="184">
        <f t="shared" si="63"/>
        <v>0</v>
      </c>
      <c r="R12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24105</v>
      </c>
      <c r="T12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25000</v>
      </c>
      <c r="U128" s="186">
        <f ca="1">IF(Tabla33610673486[[#This Row],[Equity]]&lt;Tabla33610673486[[#This Row],[Equity Peak]],(Tabla33610673486[[#This Row],[Equity Peak]]-Tabla33610673486[[#This Row],[Equity]])/Tabla33610673486[[#This Row],[Equity Peak]],"")</f>
        <v>3.5799999999999998E-2</v>
      </c>
      <c r="V128" s="187">
        <f t="shared" si="64"/>
        <v>1.26</v>
      </c>
      <c r="W128" s="187">
        <f t="shared" si="65"/>
        <v>0</v>
      </c>
      <c r="X128" s="187">
        <f t="shared" si="66"/>
        <v>0</v>
      </c>
      <c r="Y128" s="187">
        <f t="shared" si="67"/>
        <v>0</v>
      </c>
      <c r="Z128" s="187">
        <f t="shared" si="68"/>
        <v>0</v>
      </c>
      <c r="AA128" s="183">
        <f t="shared" si="69"/>
        <v>0</v>
      </c>
      <c r="AB128" s="187">
        <f t="shared" si="70"/>
        <v>0</v>
      </c>
      <c r="AC128" s="183">
        <f t="shared" si="71"/>
        <v>0</v>
      </c>
      <c r="AD128" s="188">
        <f t="shared" si="72"/>
        <v>1.1291666666656965</v>
      </c>
      <c r="AE128" s="188">
        <f t="shared" si="73"/>
        <v>1.1291666666656965</v>
      </c>
      <c r="AF128" s="188">
        <f t="shared" si="74"/>
        <v>0</v>
      </c>
      <c r="AG128" s="188">
        <f t="shared" si="75"/>
        <v>0</v>
      </c>
    </row>
    <row r="129" spans="2:33" ht="15" customHeight="1" x14ac:dyDescent="0.15">
      <c r="B129" s="174" t="s">
        <v>7</v>
      </c>
      <c r="C129" s="175" t="s">
        <v>15</v>
      </c>
      <c r="D129" s="176" t="str">
        <f t="shared" si="57"/>
        <v>C</v>
      </c>
      <c r="E129" s="177" t="d">
        <v>2021-01-27T20:29:59.99999979045242400</v>
      </c>
      <c r="F129" s="178" t="s">
        <v>102</v>
      </c>
      <c r="G129" s="179">
        <v>142.74799999999999</v>
      </c>
      <c r="H129" s="179">
        <v>142.49100000000001</v>
      </c>
      <c r="I129" s="180">
        <f t="shared" si="58"/>
        <v>0.25699999999997658</v>
      </c>
      <c r="J129" s="179">
        <v>144.119</v>
      </c>
      <c r="K129" s="177" t="d">
        <v>2021-01-27T22:24:00.00000008381903175</v>
      </c>
      <c r="L129" s="179">
        <v>142.49100000000001</v>
      </c>
      <c r="M129" s="181">
        <f t="shared" si="59"/>
        <v>-0.25700000000000001</v>
      </c>
      <c r="N129" s="182">
        <f t="shared" si="60"/>
        <v>-1</v>
      </c>
      <c r="O129" s="183">
        <f t="shared" si="61"/>
        <v>0</v>
      </c>
      <c r="P129" s="184">
        <f t="shared" si="62"/>
        <v>0</v>
      </c>
      <c r="Q129" s="184">
        <f t="shared" si="63"/>
        <v>-1</v>
      </c>
      <c r="R129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29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23790</v>
      </c>
      <c r="T129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25000</v>
      </c>
      <c r="U129" s="186">
        <f ca="1">IF(Tabla33610673486[[#This Row],[Equity]]&lt;Tabla33610673486[[#This Row],[Equity Peak]],(Tabla33610673486[[#This Row],[Equity Peak]]-Tabla33610673486[[#This Row],[Equity]])/Tabla33610673486[[#This Row],[Equity Peak]],"")</f>
        <v>4.8399999999999999E-2</v>
      </c>
      <c r="V129" s="187">
        <f t="shared" si="64"/>
        <v>-1</v>
      </c>
      <c r="W129" s="187">
        <f t="shared" si="65"/>
        <v>0</v>
      </c>
      <c r="X129" s="187">
        <f t="shared" si="66"/>
        <v>0</v>
      </c>
      <c r="Y129" s="187">
        <f t="shared" si="67"/>
        <v>0</v>
      </c>
      <c r="Z129" s="187">
        <f t="shared" si="68"/>
        <v>0</v>
      </c>
      <c r="AA129" s="183">
        <f t="shared" si="69"/>
        <v>0</v>
      </c>
      <c r="AB129" s="187">
        <f t="shared" si="70"/>
        <v>0</v>
      </c>
      <c r="AC129" s="183">
        <f t="shared" si="71"/>
        <v>0</v>
      </c>
      <c r="AD129" s="188">
        <f t="shared" si="72"/>
        <v>7.9166666670062114E-2</v>
      </c>
      <c r="AE129" s="188">
        <f t="shared" si="73"/>
        <v>0</v>
      </c>
      <c r="AF129" s="188">
        <f t="shared" si="74"/>
        <v>7.9166666670062114E-2</v>
      </c>
      <c r="AG129" s="188">
        <f t="shared" si="75"/>
        <v>0</v>
      </c>
    </row>
    <row r="130" spans="2:33" ht="15" customHeight="1" x14ac:dyDescent="0.15">
      <c r="B130" s="174" t="s">
        <v>7</v>
      </c>
      <c r="C130" s="175" t="s">
        <v>15</v>
      </c>
      <c r="D130" s="176" t="str">
        <f t="shared" si="57"/>
        <v>C</v>
      </c>
      <c r="E130" s="177" t="d">
        <v>2021-01-26T18:00:00.000</v>
      </c>
      <c r="F130" s="178" t="s">
        <v>102</v>
      </c>
      <c r="G130" s="179">
        <v>142.44399999999999</v>
      </c>
      <c r="H130" s="179">
        <v>142.184</v>
      </c>
      <c r="I130" s="180">
        <f t="shared" si="58"/>
        <v>0.25999999999999091</v>
      </c>
      <c r="J130" s="179">
        <v>143.83000000000001</v>
      </c>
      <c r="K130" s="177" t="d">
        <v>2021-01-27T13:50:59.99999970663339225</v>
      </c>
      <c r="L130" s="179">
        <v>142.34200000000001</v>
      </c>
      <c r="M130" s="181">
        <f t="shared" si="59"/>
        <v>-0.10199999999999999</v>
      </c>
      <c r="N130" s="182">
        <f t="shared" si="60"/>
        <v>-0.39</v>
      </c>
      <c r="O130" s="183">
        <f t="shared" si="61"/>
        <v>0</v>
      </c>
      <c r="P130" s="184">
        <f t="shared" si="62"/>
        <v>0</v>
      </c>
      <c r="Q130" s="184">
        <f t="shared" si="63"/>
        <v>-0.39</v>
      </c>
      <c r="R130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0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24040</v>
      </c>
      <c r="T130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25000</v>
      </c>
      <c r="U130" s="186">
        <f ca="1">IF(Tabla33610673486[[#This Row],[Equity]]&lt;Tabla33610673486[[#This Row],[Equity Peak]],(Tabla33610673486[[#This Row],[Equity Peak]]-Tabla33610673486[[#This Row],[Equity]])/Tabla33610673486[[#This Row],[Equity Peak]],"")</f>
        <v>3.8399999999999997E-2</v>
      </c>
      <c r="V130" s="187">
        <f t="shared" si="64"/>
        <v>-0.39</v>
      </c>
      <c r="W130" s="187">
        <f t="shared" si="65"/>
        <v>0</v>
      </c>
      <c r="X130" s="187">
        <f t="shared" si="66"/>
        <v>0</v>
      </c>
      <c r="Y130" s="187">
        <f t="shared" si="67"/>
        <v>0</v>
      </c>
      <c r="Z130" s="187">
        <f t="shared" si="68"/>
        <v>0</v>
      </c>
      <c r="AA130" s="183">
        <f t="shared" si="69"/>
        <v>0</v>
      </c>
      <c r="AB130" s="187">
        <f t="shared" si="70"/>
        <v>0</v>
      </c>
      <c r="AC130" s="183">
        <f t="shared" si="71"/>
        <v>0</v>
      </c>
      <c r="AD130" s="188">
        <f t="shared" si="72"/>
        <v>0.82708333332993789</v>
      </c>
      <c r="AE130" s="188">
        <f t="shared" si="73"/>
        <v>0</v>
      </c>
      <c r="AF130" s="188">
        <f t="shared" si="74"/>
        <v>0.82708333332993789</v>
      </c>
      <c r="AG130" s="188">
        <f t="shared" si="75"/>
        <v>0</v>
      </c>
    </row>
    <row r="131" spans="2:33" ht="15" customHeight="1" x14ac:dyDescent="0.15">
      <c r="B131" s="174" t="s">
        <v>7</v>
      </c>
      <c r="C131" s="175" t="s">
        <v>13</v>
      </c>
      <c r="D131" s="176" t="str">
        <f t="shared" si="57"/>
        <v>C</v>
      </c>
      <c r="E131" s="177" t="d">
        <v>2021-01-26T09:45:00.000</v>
      </c>
      <c r="F131" s="178" t="s">
        <v>102</v>
      </c>
      <c r="G131" s="179">
        <v>141.31700000000001</v>
      </c>
      <c r="H131" s="179">
        <v>141.547</v>
      </c>
      <c r="I131" s="180">
        <f t="shared" si="58"/>
        <v>0.22999999999998977</v>
      </c>
      <c r="J131" s="179">
        <v>140.09299999999999</v>
      </c>
      <c r="K131" s="177" t="d">
        <v>2021-01-26T10:51:59.99999990221113300</v>
      </c>
      <c r="L131" s="179">
        <v>141.547</v>
      </c>
      <c r="M131" s="181">
        <f t="shared" si="59"/>
        <v>-0.23</v>
      </c>
      <c r="N131" s="182">
        <f t="shared" si="60"/>
        <v>-1</v>
      </c>
      <c r="O131" s="183">
        <f t="shared" si="61"/>
        <v>0</v>
      </c>
      <c r="P131" s="184">
        <f t="shared" si="62"/>
        <v>0</v>
      </c>
      <c r="Q131" s="184">
        <f t="shared" si="63"/>
        <v>-1</v>
      </c>
      <c r="R131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1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24137.5</v>
      </c>
      <c r="T131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25000</v>
      </c>
      <c r="U131" s="186">
        <f ca="1">IF(Tabla33610673486[[#This Row],[Equity]]&lt;Tabla33610673486[[#This Row],[Equity Peak]],(Tabla33610673486[[#This Row],[Equity Peak]]-Tabla33610673486[[#This Row],[Equity]])/Tabla33610673486[[#This Row],[Equity Peak]],"")</f>
        <v>3.4500000000000003E-2</v>
      </c>
      <c r="V131" s="187">
        <f t="shared" si="64"/>
        <v>-1</v>
      </c>
      <c r="W131" s="187">
        <f t="shared" si="65"/>
        <v>0</v>
      </c>
      <c r="X131" s="187">
        <f t="shared" si="66"/>
        <v>0</v>
      </c>
      <c r="Y131" s="187">
        <f t="shared" si="67"/>
        <v>0</v>
      </c>
      <c r="Z131" s="187">
        <f t="shared" si="68"/>
        <v>0</v>
      </c>
      <c r="AA131" s="183">
        <f t="shared" si="69"/>
        <v>0</v>
      </c>
      <c r="AB131" s="187">
        <f t="shared" si="70"/>
        <v>0</v>
      </c>
      <c r="AC131" s="183">
        <f t="shared" si="71"/>
        <v>0</v>
      </c>
      <c r="AD131" s="188">
        <f t="shared" si="72"/>
        <v>4.6527777776645962E-2</v>
      </c>
      <c r="AE131" s="188">
        <f t="shared" si="73"/>
        <v>0</v>
      </c>
      <c r="AF131" s="188">
        <f t="shared" si="74"/>
        <v>4.6527777776645962E-2</v>
      </c>
      <c r="AG131" s="188">
        <f t="shared" si="75"/>
        <v>0</v>
      </c>
    </row>
    <row r="132" spans="2:33" ht="15" customHeight="1" x14ac:dyDescent="0.15">
      <c r="B132" s="174" t="s">
        <v>7</v>
      </c>
      <c r="C132" s="175" t="s">
        <v>15</v>
      </c>
      <c r="D132" s="176" t="str">
        <f t="shared" si="57"/>
        <v>C</v>
      </c>
      <c r="E132" s="177" t="d">
        <v>2021-01-20T11:15:00.000</v>
      </c>
      <c r="F132" s="178" t="s">
        <v>102</v>
      </c>
      <c r="G132" s="179">
        <v>142.09200000000001</v>
      </c>
      <c r="H132" s="179">
        <v>141.86099999999999</v>
      </c>
      <c r="I132" s="180">
        <f t="shared" si="58"/>
        <v>0.23100000000002296</v>
      </c>
      <c r="J132" s="179">
        <v>143.32599999999999</v>
      </c>
      <c r="K132" s="177" t="d">
        <v>2021-01-20T14:23:59.99999987427145575</v>
      </c>
      <c r="L132" s="179">
        <v>141.922</v>
      </c>
      <c r="M132" s="181">
        <f t="shared" si="59"/>
        <v>-0.17</v>
      </c>
      <c r="N132" s="182">
        <f t="shared" si="60"/>
        <v>-0.74</v>
      </c>
      <c r="O132" s="183">
        <f t="shared" si="61"/>
        <v>0</v>
      </c>
      <c r="P132" s="184">
        <f t="shared" si="62"/>
        <v>0</v>
      </c>
      <c r="Q132" s="184">
        <f t="shared" si="63"/>
        <v>-0.74</v>
      </c>
      <c r="R132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2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24387.5</v>
      </c>
      <c r="T132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25000</v>
      </c>
      <c r="U132" s="186">
        <f ca="1">IF(Tabla33610673486[[#This Row],[Equity]]&lt;Tabla33610673486[[#This Row],[Equity Peak]],(Tabla33610673486[[#This Row],[Equity Peak]]-Tabla33610673486[[#This Row],[Equity]])/Tabla33610673486[[#This Row],[Equity Peak]],"")</f>
        <v>2.4500000000000001E-2</v>
      </c>
      <c r="V132" s="187">
        <f t="shared" si="64"/>
        <v>-0.74</v>
      </c>
      <c r="W132" s="187">
        <f t="shared" si="65"/>
        <v>0</v>
      </c>
      <c r="X132" s="187">
        <f t="shared" si="66"/>
        <v>0</v>
      </c>
      <c r="Y132" s="187">
        <f t="shared" si="67"/>
        <v>0</v>
      </c>
      <c r="Z132" s="187">
        <f t="shared" si="68"/>
        <v>0</v>
      </c>
      <c r="AA132" s="183">
        <f t="shared" si="69"/>
        <v>0</v>
      </c>
      <c r="AB132" s="187">
        <f t="shared" si="70"/>
        <v>0</v>
      </c>
      <c r="AC132" s="183">
        <f t="shared" si="71"/>
        <v>0</v>
      </c>
      <c r="AD132" s="188">
        <f t="shared" si="72"/>
        <v>0.13124999999854481</v>
      </c>
      <c r="AE132" s="188">
        <f t="shared" si="73"/>
        <v>0</v>
      </c>
      <c r="AF132" s="188">
        <f t="shared" si="74"/>
        <v>0.13124999999854481</v>
      </c>
      <c r="AG132" s="188">
        <f t="shared" si="75"/>
        <v>0</v>
      </c>
    </row>
    <row r="133" spans="2:33" ht="15" customHeight="1" x14ac:dyDescent="0.15">
      <c r="B133" s="174" t="s">
        <v>7</v>
      </c>
      <c r="C133" s="175" t="s">
        <v>13</v>
      </c>
      <c r="D133" s="176" t="str">
        <f t="shared" si="57"/>
        <v>C</v>
      </c>
      <c r="E133" s="177" t="d">
        <v>2021-01-15T14:45:00.00000020954757600</v>
      </c>
      <c r="F133" s="178" t="s">
        <v>102</v>
      </c>
      <c r="G133" s="179">
        <v>141.23500000000001</v>
      </c>
      <c r="H133" s="179">
        <v>141.51499999999999</v>
      </c>
      <c r="I133" s="180">
        <f t="shared" si="58"/>
        <v>0.27999999999997272</v>
      </c>
      <c r="J133" s="179">
        <v>139.74199999999999</v>
      </c>
      <c r="K133" s="177" t="d">
        <v>2021-01-18T17:06:00.00000012572854425</v>
      </c>
      <c r="L133" s="179">
        <v>140.755</v>
      </c>
      <c r="M133" s="181">
        <f t="shared" si="59"/>
        <v>0.48</v>
      </c>
      <c r="N133" s="182">
        <f t="shared" si="60"/>
        <v>1.71</v>
      </c>
      <c r="O133" s="183">
        <f t="shared" si="61"/>
        <v>0</v>
      </c>
      <c r="P133" s="184">
        <f t="shared" si="62"/>
        <v>1.71</v>
      </c>
      <c r="Q133" s="184">
        <f t="shared" si="63"/>
        <v>0</v>
      </c>
      <c r="R133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3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24572.5</v>
      </c>
      <c r="T133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25000</v>
      </c>
      <c r="U133" s="186">
        <f ca="1">IF(Tabla33610673486[[#This Row],[Equity]]&lt;Tabla33610673486[[#This Row],[Equity Peak]],(Tabla33610673486[[#This Row],[Equity Peak]]-Tabla33610673486[[#This Row],[Equity]])/Tabla33610673486[[#This Row],[Equity Peak]],"")</f>
        <v>1.7100000000000001E-2</v>
      </c>
      <c r="V133" s="187">
        <f t="shared" si="64"/>
        <v>1.71</v>
      </c>
      <c r="W133" s="187">
        <f t="shared" si="65"/>
        <v>0</v>
      </c>
      <c r="X133" s="187">
        <f t="shared" si="66"/>
        <v>0</v>
      </c>
      <c r="Y133" s="187">
        <f t="shared" si="67"/>
        <v>0</v>
      </c>
      <c r="Z133" s="187">
        <f t="shared" si="68"/>
        <v>0</v>
      </c>
      <c r="AA133" s="183">
        <f t="shared" si="69"/>
        <v>0</v>
      </c>
      <c r="AB133" s="187">
        <f t="shared" si="70"/>
        <v>0</v>
      </c>
      <c r="AC133" s="183">
        <f t="shared" si="71"/>
        <v>0</v>
      </c>
      <c r="AD133" s="188">
        <f t="shared" si="72"/>
        <v>3.0979166666656965</v>
      </c>
      <c r="AE133" s="188">
        <f t="shared" si="73"/>
        <v>3.0979166666656965</v>
      </c>
      <c r="AF133" s="188">
        <f t="shared" si="74"/>
        <v>0</v>
      </c>
      <c r="AG133" s="188">
        <f t="shared" si="75"/>
        <v>0</v>
      </c>
    </row>
    <row r="134" spans="2:33" ht="15" customHeight="1" x14ac:dyDescent="0.15">
      <c r="B134" s="174" t="s">
        <v>7</v>
      </c>
      <c r="C134" s="175" t="s">
        <v>15</v>
      </c>
      <c r="D134" s="176" t="str">
        <f t="shared" si="57"/>
        <v>C</v>
      </c>
      <c r="E134" s="177" t="d">
        <v>2021-01-12T11:29:59.99999979045242400</v>
      </c>
      <c r="F134" s="178" t="s">
        <v>102</v>
      </c>
      <c r="G134" s="179">
        <v>141.61500000000001</v>
      </c>
      <c r="H134" s="179">
        <v>141.34100000000001</v>
      </c>
      <c r="I134" s="180">
        <f t="shared" si="58"/>
        <v>0.27400000000000091</v>
      </c>
      <c r="J134" s="179">
        <v>143.07499999999999</v>
      </c>
      <c r="K134" s="177" t="d">
        <v>2021-01-13T03:08:59.99999987427145575</v>
      </c>
      <c r="L134" s="179">
        <v>141.625</v>
      </c>
      <c r="M134" s="181">
        <f t="shared" si="59"/>
        <v>0.01</v>
      </c>
      <c r="N134" s="182">
        <f t="shared" si="60"/>
        <v>0.04</v>
      </c>
      <c r="O134" s="183">
        <f t="shared" si="61"/>
        <v>0</v>
      </c>
      <c r="P134" s="184">
        <f t="shared" si="62"/>
        <v>0.04</v>
      </c>
      <c r="Q134" s="184">
        <f t="shared" si="63"/>
        <v>0</v>
      </c>
      <c r="R134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34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24145</v>
      </c>
      <c r="T134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25000</v>
      </c>
      <c r="U134" s="186">
        <f ca="1">IF(Tabla33610673486[[#This Row],[Equity]]&lt;Tabla33610673486[[#This Row],[Equity Peak]],(Tabla33610673486[[#This Row],[Equity Peak]]-Tabla33610673486[[#This Row],[Equity]])/Tabla33610673486[[#This Row],[Equity Peak]],"")</f>
        <v>3.4200000000000001E-2</v>
      </c>
      <c r="V134" s="187">
        <f t="shared" si="64"/>
        <v>0.04</v>
      </c>
      <c r="W134" s="187">
        <f t="shared" si="65"/>
        <v>0</v>
      </c>
      <c r="X134" s="187">
        <f t="shared" si="66"/>
        <v>0</v>
      </c>
      <c r="Y134" s="187">
        <f t="shared" si="67"/>
        <v>0</v>
      </c>
      <c r="Z134" s="187">
        <f t="shared" si="68"/>
        <v>0</v>
      </c>
      <c r="AA134" s="183">
        <f t="shared" si="69"/>
        <v>0</v>
      </c>
      <c r="AB134" s="187">
        <f t="shared" si="70"/>
        <v>0</v>
      </c>
      <c r="AC134" s="183">
        <f t="shared" si="71"/>
        <v>0</v>
      </c>
      <c r="AD134" s="188">
        <f t="shared" si="72"/>
        <v>0.65208333333430346</v>
      </c>
      <c r="AE134" s="188">
        <f t="shared" si="73"/>
        <v>0.65208333333430346</v>
      </c>
      <c r="AF134" s="188">
        <f t="shared" si="74"/>
        <v>0</v>
      </c>
      <c r="AG134" s="188">
        <f t="shared" si="75"/>
        <v>0</v>
      </c>
    </row>
    <row r="135" spans="2:33" ht="15" customHeight="1" x14ac:dyDescent="0.15">
      <c r="B135" s="174" t="s">
        <v>7</v>
      </c>
      <c r="C135" s="175" t="s">
        <v>15</v>
      </c>
      <c r="D135" s="176" t="str">
        <f t="shared" si="57"/>
        <v>C</v>
      </c>
      <c r="E135" s="177" t="d">
        <v>2021-01-08T09:00:00.000</v>
      </c>
      <c r="F135" s="178" t="s">
        <v>102</v>
      </c>
      <c r="G135" s="179">
        <v>141.05799999999999</v>
      </c>
      <c r="H135" s="179">
        <v>140.761</v>
      </c>
      <c r="I135" s="180">
        <f t="shared" si="58"/>
        <v>0.29699999999999704</v>
      </c>
      <c r="J135" s="179">
        <v>142.64400000000001</v>
      </c>
      <c r="K135" s="177" t="d">
        <v>2021-01-08T17:23:59.99999987427145575</v>
      </c>
      <c r="L135" s="179">
        <v>140.91999999999999</v>
      </c>
      <c r="M135" s="181">
        <f t="shared" si="59"/>
        <v>-0.13800000000000001</v>
      </c>
      <c r="N135" s="182">
        <f t="shared" si="60"/>
        <v>-0.46</v>
      </c>
      <c r="O135" s="183">
        <f t="shared" si="61"/>
        <v>0</v>
      </c>
      <c r="P135" s="184">
        <f t="shared" si="62"/>
        <v>0</v>
      </c>
      <c r="Q135" s="184">
        <f t="shared" si="63"/>
        <v>-0.46</v>
      </c>
      <c r="R135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Yes</v>
      </c>
      <c r="S135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24135</v>
      </c>
      <c r="T135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25000</v>
      </c>
      <c r="U135" s="186">
        <f ca="1">IF(Tabla33610673486[[#This Row],[Equity]]&lt;Tabla33610673486[[#This Row],[Equity Peak]],(Tabla33610673486[[#This Row],[Equity Peak]]-Tabla33610673486[[#This Row],[Equity]])/Tabla33610673486[[#This Row],[Equity Peak]],"")</f>
        <v>3.4599999999999999E-2</v>
      </c>
      <c r="V135" s="187">
        <f t="shared" si="64"/>
        <v>-0.46</v>
      </c>
      <c r="W135" s="187">
        <f t="shared" si="65"/>
        <v>0</v>
      </c>
      <c r="X135" s="187">
        <f t="shared" si="66"/>
        <v>0</v>
      </c>
      <c r="Y135" s="187">
        <f t="shared" si="67"/>
        <v>0</v>
      </c>
      <c r="Z135" s="187">
        <f t="shared" si="68"/>
        <v>0</v>
      </c>
      <c r="AA135" s="183">
        <f t="shared" si="69"/>
        <v>0</v>
      </c>
      <c r="AB135" s="187">
        <f t="shared" si="70"/>
        <v>0</v>
      </c>
      <c r="AC135" s="183">
        <f t="shared" si="71"/>
        <v>0</v>
      </c>
      <c r="AD135" s="188">
        <f t="shared" si="72"/>
        <v>0.34999999999854481</v>
      </c>
      <c r="AE135" s="188">
        <f t="shared" si="73"/>
        <v>0</v>
      </c>
      <c r="AF135" s="188">
        <f t="shared" si="74"/>
        <v>0.34999999999854481</v>
      </c>
      <c r="AG135" s="188">
        <f t="shared" si="75"/>
        <v>0</v>
      </c>
    </row>
    <row r="136" spans="2:33" ht="15" customHeight="1" x14ac:dyDescent="0.15">
      <c r="B136" s="174" t="s">
        <v>7</v>
      </c>
      <c r="C136" s="175" t="s">
        <v>15</v>
      </c>
      <c r="D136" s="176" t="str">
        <f t="shared" si="57"/>
        <v>C</v>
      </c>
      <c r="E136" s="177" t="d">
        <v>2021-01-07T15:00:00.000</v>
      </c>
      <c r="F136" s="178" t="s">
        <v>102</v>
      </c>
      <c r="G136" s="179">
        <v>140.983</v>
      </c>
      <c r="H136" s="179">
        <v>140.59800000000001</v>
      </c>
      <c r="I136" s="180">
        <f t="shared" si="58"/>
        <v>0.38499999999999091</v>
      </c>
      <c r="J136" s="179">
        <v>143.035</v>
      </c>
      <c r="K136" s="177" t="d">
        <v>2021-01-07T18:39:00.00000008381903175</v>
      </c>
      <c r="L136" s="179">
        <v>140.59800000000001</v>
      </c>
      <c r="M136" s="181">
        <f t="shared" si="59"/>
        <v>-0.38500000000000001</v>
      </c>
      <c r="N136" s="182">
        <f t="shared" si="60"/>
        <v>-1</v>
      </c>
      <c r="O136" s="183">
        <f t="shared" si="61"/>
        <v>0</v>
      </c>
      <c r="P136" s="184">
        <f t="shared" si="62"/>
        <v>0</v>
      </c>
      <c r="Q136" s="184">
        <f t="shared" si="63"/>
        <v>-1</v>
      </c>
      <c r="R136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Yes</v>
      </c>
      <c r="S136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24250</v>
      </c>
      <c r="T136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25000</v>
      </c>
      <c r="U136" s="186">
        <f ca="1">IF(Tabla33610673486[[#This Row],[Equity]]&lt;Tabla33610673486[[#This Row],[Equity Peak]],(Tabla33610673486[[#This Row],[Equity Peak]]-Tabla33610673486[[#This Row],[Equity]])/Tabla33610673486[[#This Row],[Equity Peak]],"")</f>
        <v>0.03</v>
      </c>
      <c r="V136" s="187">
        <f t="shared" si="64"/>
        <v>-1</v>
      </c>
      <c r="W136" s="187">
        <f t="shared" si="65"/>
        <v>0</v>
      </c>
      <c r="X136" s="187">
        <f t="shared" si="66"/>
        <v>0</v>
      </c>
      <c r="Y136" s="187">
        <f t="shared" si="67"/>
        <v>0</v>
      </c>
      <c r="Z136" s="187">
        <f t="shared" si="68"/>
        <v>0</v>
      </c>
      <c r="AA136" s="183">
        <f t="shared" si="69"/>
        <v>0</v>
      </c>
      <c r="AB136" s="187">
        <f t="shared" si="70"/>
        <v>0</v>
      </c>
      <c r="AC136" s="183">
        <f t="shared" si="71"/>
        <v>0</v>
      </c>
      <c r="AD136" s="188">
        <f t="shared" si="72"/>
        <v>0.15208333333430346</v>
      </c>
      <c r="AE136" s="188">
        <f t="shared" si="73"/>
        <v>0</v>
      </c>
      <c r="AF136" s="188">
        <f t="shared" si="74"/>
        <v>0.15208333333430346</v>
      </c>
      <c r="AG136" s="188">
        <f t="shared" si="75"/>
        <v>0</v>
      </c>
    </row>
    <row r="137" spans="2:33" ht="15" customHeight="1" x14ac:dyDescent="0.15">
      <c r="B137" s="174" t="s">
        <v>7</v>
      </c>
      <c r="C137" s="175" t="s">
        <v>13</v>
      </c>
      <c r="D137" s="176" t="str">
        <f t="shared" si="57"/>
        <v>C</v>
      </c>
      <c r="E137" s="177" t="d">
        <v>2021-01-05T11:00:00.00000020954757600</v>
      </c>
      <c r="F137" s="178" t="s">
        <v>102</v>
      </c>
      <c r="G137" s="179">
        <v>139.53800000000001</v>
      </c>
      <c r="H137" s="179">
        <v>139.87</v>
      </c>
      <c r="I137" s="180">
        <f t="shared" si="58"/>
        <v>0.33199999999999363</v>
      </c>
      <c r="J137" s="179">
        <v>137.768</v>
      </c>
      <c r="K137" s="177" t="d">
        <v>2021-01-05T13:06:59.99999990221113300</v>
      </c>
      <c r="L137" s="179">
        <v>139.87</v>
      </c>
      <c r="M137" s="181">
        <f t="shared" si="59"/>
        <v>-0.33200000000000002</v>
      </c>
      <c r="N137" s="182">
        <f t="shared" si="60"/>
        <v>-1</v>
      </c>
      <c r="O137" s="183">
        <f t="shared" si="61"/>
        <v>0</v>
      </c>
      <c r="P137" s="184">
        <f t="shared" si="62"/>
        <v>0</v>
      </c>
      <c r="Q137" s="184">
        <f t="shared" si="63"/>
        <v>-1</v>
      </c>
      <c r="R137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Yes</v>
      </c>
      <c r="S137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24500</v>
      </c>
      <c r="T137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25000</v>
      </c>
      <c r="U137" s="186">
        <f ca="1">IF(Tabla33610673486[[#This Row],[Equity]]&lt;Tabla33610673486[[#This Row],[Equity Peak]],(Tabla33610673486[[#This Row],[Equity Peak]]-Tabla33610673486[[#This Row],[Equity]])/Tabla33610673486[[#This Row],[Equity Peak]],"")</f>
        <v>0.02</v>
      </c>
      <c r="V137" s="187">
        <f t="shared" si="64"/>
        <v>-1</v>
      </c>
      <c r="W137" s="187">
        <f t="shared" si="65"/>
        <v>0</v>
      </c>
      <c r="X137" s="187">
        <f t="shared" si="66"/>
        <v>0</v>
      </c>
      <c r="Y137" s="187">
        <f t="shared" si="67"/>
        <v>0</v>
      </c>
      <c r="Z137" s="187">
        <f t="shared" si="68"/>
        <v>0</v>
      </c>
      <c r="AA137" s="183">
        <f t="shared" si="69"/>
        <v>0</v>
      </c>
      <c r="AB137" s="187">
        <f t="shared" si="70"/>
        <v>0</v>
      </c>
      <c r="AC137" s="183">
        <f t="shared" si="71"/>
        <v>0</v>
      </c>
      <c r="AD137" s="188">
        <f t="shared" si="72"/>
        <v>8.819444444088731E-2</v>
      </c>
      <c r="AE137" s="188">
        <f t="shared" si="73"/>
        <v>0</v>
      </c>
      <c r="AF137" s="188">
        <f t="shared" si="74"/>
        <v>8.819444444088731E-2</v>
      </c>
      <c r="AG137" s="188">
        <f t="shared" si="75"/>
        <v>0</v>
      </c>
    </row>
    <row r="138" spans="2:33" ht="15" customHeight="1" x14ac:dyDescent="0.15">
      <c r="B138" s="174" t="s">
        <v>7</v>
      </c>
      <c r="C138" s="175" t="s">
        <v>15</v>
      </c>
      <c r="D138" s="176" t="str">
        <f t="shared" si="57"/>
        <v>C</v>
      </c>
      <c r="E138" s="177" t="d">
        <v>2021-01-04T01:44:59.99999979045242400</v>
      </c>
      <c r="F138" s="178" t="s">
        <v>102</v>
      </c>
      <c r="G138" s="179">
        <v>141.303</v>
      </c>
      <c r="H138" s="179">
        <v>140.958</v>
      </c>
      <c r="I138" s="180">
        <f t="shared" si="58"/>
        <v>0.34499999999999886</v>
      </c>
      <c r="J138" s="179">
        <v>143.14500000000001</v>
      </c>
      <c r="K138" s="177" t="d">
        <v>2021-01-04T02:22:00.00000011175870900</v>
      </c>
      <c r="L138" s="179">
        <v>140.958</v>
      </c>
      <c r="M138" s="181">
        <f t="shared" si="59"/>
        <v>-0.34499999999999997</v>
      </c>
      <c r="N138" s="182">
        <f t="shared" si="60"/>
        <v>-1</v>
      </c>
      <c r="O138" s="183">
        <f t="shared" si="61"/>
        <v>0</v>
      </c>
      <c r="P138" s="184">
        <f t="shared" si="62"/>
        <v>0</v>
      </c>
      <c r="Q138" s="184">
        <f t="shared" si="63"/>
        <v>-1</v>
      </c>
      <c r="R138" s="184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Yes</v>
      </c>
      <c r="S138" s="185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24750</v>
      </c>
      <c r="T138" s="185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25000</v>
      </c>
      <c r="U138" s="186">
        <f ca="1">IF(Tabla33610673486[[#This Row],[Equity]]&lt;Tabla33610673486[[#This Row],[Equity Peak]],(Tabla33610673486[[#This Row],[Equity Peak]]-Tabla33610673486[[#This Row],[Equity]])/Tabla33610673486[[#This Row],[Equity Peak]],"")</f>
        <v>0.01</v>
      </c>
      <c r="V138" s="187">
        <f t="shared" si="64"/>
        <v>-1</v>
      </c>
      <c r="W138" s="187">
        <f t="shared" si="65"/>
        <v>0</v>
      </c>
      <c r="X138" s="187">
        <f t="shared" si="66"/>
        <v>0</v>
      </c>
      <c r="Y138" s="187">
        <f t="shared" si="67"/>
        <v>0</v>
      </c>
      <c r="Z138" s="187">
        <f t="shared" si="68"/>
        <v>0</v>
      </c>
      <c r="AA138" s="183">
        <f t="shared" si="69"/>
        <v>0</v>
      </c>
      <c r="AB138" s="187">
        <f t="shared" si="70"/>
        <v>0</v>
      </c>
      <c r="AC138" s="183">
        <f t="shared" si="71"/>
        <v>0</v>
      </c>
      <c r="AD138" s="188">
        <f t="shared" si="72"/>
        <v>2.5694444448163267E-2</v>
      </c>
      <c r="AE138" s="188">
        <f t="shared" si="73"/>
        <v>0</v>
      </c>
      <c r="AF138" s="188">
        <f t="shared" si="74"/>
        <v>2.5694444448163267E-2</v>
      </c>
      <c r="AG138" s="188">
        <f t="shared" si="75"/>
        <v>0</v>
      </c>
    </row>
  </sheetData>
  <sheetProtection algorithmName="SHA-512" hashValue="u1+LP7gsL62uf/hlHiwyWkyG5iHYd8uwVeCKC1ik7/CVsd/BTGWFU53ikD8ltOfS9xYvcwFm6X62aO1fZOY1EA==" saltValue="eHWJ9II7AtAC+ppr5NxD4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251" priority="3" operator="equal">
      <formula>"OK"</formula>
    </cfRule>
    <cfRule type="cellIs" dxfId="250" priority="4" operator="equal">
      <formula>"warning"</formula>
    </cfRule>
  </conditionalFormatting>
  <conditionalFormatting sqref="F13">
    <cfRule type="cellIs" dxfId="249" priority="1" operator="equal">
      <formula>"OK"</formula>
    </cfRule>
    <cfRule type="cellIs" dxfId="248" priority="2" operator="equal">
      <formula>"Error!!"</formula>
    </cfRule>
  </conditionalFormatting>
  <conditionalFormatting sqref="E15:H15 K15:L15">
    <cfRule type="expression" dxfId="247" priority="5">
      <formula>+$D15=#REF!</formula>
    </cfRule>
    <cfRule type="expression" dxfId="246" priority="6">
      <formula>+$D15=#REF!</formula>
    </cfRule>
  </conditionalFormatting>
  <conditionalFormatting sqref="D15 K16:L16 D16:H138 J17:L138">
    <cfRule type="expression" dxfId="245" priority="7">
      <formula>+$D15=$AG$8</formula>
    </cfRule>
    <cfRule type="expression" dxfId="244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7:B138" xr:uid="{57BDEC59-C494-4F9E-9F44-5589DAAA689D}">
      <formula1>$AE$4:$AE$7</formula1>
    </dataValidation>
    <dataValidation type="list" allowBlank="1" showInputMessage="1" showErrorMessage="1" promptTitle="Instrument Type" prompt="Select Type from List_x000a_" sqref="B15:B16" xr:uid="{AB7F42FF-7086-4118-9F61-EE48B144E201}">
      <formula1>$AE$4:$AE$6</formula1>
    </dataValidation>
    <dataValidation type="list" allowBlank="1" showInputMessage="1" showErrorMessage="1" promptTitle="Trade Direction" prompt="Select from List" sqref="C15:C17" xr:uid="{1AE83EB6-FD86-48DD-9F5C-0A4E901AA529}">
      <formula1>$AG$4:$AG$5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2745-527A-499B-811D-4C52A4FD05B1}">
  <sheetPr codeName="Hoja14">
    <pageSetUpPr fitToPage="1"/>
  </sheetPr>
  <dimension ref="A1:AX78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E2" sqref="E2:N5"/>
    </sheetView>
  </sheetViews>
  <sheetFormatPr baseColWidth="10" defaultColWidth="0" defaultRowHeight="15" customHeight="1" x14ac:dyDescent="0.15"/>
  <cols>
    <col min="1" max="1" width="2.33203125" style="117" customWidth="1"/>
    <col min="2" max="2" width="10.33203125" style="88" customWidth="1"/>
    <col min="3" max="3" width="12.6640625" style="90" customWidth="1"/>
    <col min="4" max="4" width="8.6640625" style="91" customWidth="1"/>
    <col min="5" max="5" width="13.6640625" style="107" customWidth="1"/>
    <col min="6" max="6" width="8.33203125" style="88" customWidth="1"/>
    <col min="7" max="7" width="10.6640625" style="88" bestFit="1" customWidth="1"/>
    <col min="8" max="8" width="9.83203125" style="88" bestFit="1" customWidth="1"/>
    <col min="9" max="9" width="15.33203125" style="88" customWidth="1"/>
    <col min="10" max="10" width="12.83203125" style="88" customWidth="1"/>
    <col min="11" max="11" width="12.6640625" style="107" customWidth="1"/>
    <col min="12" max="12" width="10.33203125" style="88" customWidth="1"/>
    <col min="13" max="13" width="10.1640625" style="89" customWidth="1"/>
    <col min="14" max="14" width="12.1640625" style="89" customWidth="1"/>
    <col min="15" max="15" width="8.6640625" style="89" hidden="1" customWidth="1"/>
    <col min="16" max="16" width="10.33203125" style="89" customWidth="1"/>
    <col min="17" max="17" width="11" style="89" customWidth="1"/>
    <col min="18" max="18" width="11" style="89" hidden="1" customWidth="1"/>
    <col min="19" max="20" width="11" style="96" hidden="1" customWidth="1"/>
    <col min="21" max="21" width="11" style="102" hidden="1" customWidth="1"/>
    <col min="22" max="22" width="9.33203125" style="89" bestFit="1" customWidth="1"/>
    <col min="23" max="23" width="9.33203125" style="89" hidden="1" customWidth="1"/>
    <col min="24" max="24" width="7.6640625" style="89" customWidth="1"/>
    <col min="25" max="25" width="9.33203125" style="89" hidden="1" customWidth="1"/>
    <col min="26" max="26" width="8.1640625" style="89" bestFit="1" customWidth="1"/>
    <col min="27" max="27" width="8.33203125" style="89" hidden="1" customWidth="1"/>
    <col min="28" max="28" width="8.1640625" style="89" customWidth="1"/>
    <col min="29" max="29" width="8.1640625" style="89" hidden="1" customWidth="1"/>
    <col min="30" max="30" width="9.6640625" style="89" customWidth="1"/>
    <col min="31" max="31" width="8.1640625" style="89" customWidth="1"/>
    <col min="32" max="32" width="8" style="89" customWidth="1"/>
    <col min="33" max="33" width="6.6640625" style="88" customWidth="1"/>
    <col min="34" max="34" width="2.5" style="117" customWidth="1"/>
    <col min="35" max="35" width="7.33203125" style="87" hidden="1" customWidth="1"/>
    <col min="36" max="41" width="2.6640625" style="88" hidden="1" customWidth="1"/>
    <col min="42" max="42" width="4.6640625" style="88" hidden="1" customWidth="1"/>
    <col min="43" max="43" width="7.6640625" style="88" hidden="1" customWidth="1"/>
    <col min="44" max="44" width="8.6640625" style="88" hidden="1" customWidth="1"/>
    <col min="45" max="45" width="12.33203125" style="88" hidden="1" customWidth="1"/>
    <col min="46" max="46" width="2.1640625" style="88" hidden="1" customWidth="1"/>
    <col min="47" max="47" width="2.6640625" style="88" hidden="1" customWidth="1"/>
    <col min="48" max="50" width="39.33203125" style="88" hidden="1" customWidth="1"/>
    <col min="51" max="16384" width="2.6640625" style="88" hidden="1"/>
  </cols>
  <sheetData>
    <row r="1" spans="1:48" s="87" customFormat="1" ht="15" customHeight="1" x14ac:dyDescent="0.15">
      <c r="A1" s="116"/>
      <c r="B1" s="119"/>
      <c r="C1" s="118"/>
      <c r="D1" s="118"/>
      <c r="E1" s="120"/>
      <c r="F1" s="116"/>
      <c r="G1" s="116"/>
      <c r="H1" s="116"/>
      <c r="I1" s="116"/>
      <c r="J1" s="116"/>
      <c r="K1" s="120"/>
      <c r="L1" s="121"/>
      <c r="M1" s="122"/>
      <c r="N1" s="122"/>
      <c r="O1" s="2"/>
      <c r="P1" s="134"/>
      <c r="Q1" s="134"/>
      <c r="R1" s="134"/>
      <c r="S1" s="135"/>
      <c r="T1" s="135"/>
      <c r="U1" s="136"/>
      <c r="V1" s="134"/>
      <c r="W1" s="134"/>
      <c r="X1" s="134"/>
      <c r="Y1" s="134"/>
      <c r="Z1" s="134"/>
      <c r="AA1" s="134"/>
      <c r="AB1" s="147"/>
      <c r="AC1" s="1"/>
      <c r="AD1" s="147"/>
      <c r="AE1" s="147"/>
      <c r="AF1" s="147"/>
      <c r="AG1" s="147"/>
      <c r="AH1" s="147"/>
    </row>
    <row r="2" spans="1:48" ht="15" customHeight="1" thickBot="1" x14ac:dyDescent="0.2">
      <c r="B2" s="117"/>
      <c r="C2" s="118"/>
      <c r="D2" s="123"/>
      <c r="E2" s="189" t="s">
        <v>105</v>
      </c>
      <c r="F2" s="189"/>
      <c r="G2" s="189"/>
      <c r="H2" s="189"/>
      <c r="I2" s="189"/>
      <c r="J2" s="189"/>
      <c r="K2" s="189"/>
      <c r="L2" s="189"/>
      <c r="M2" s="189"/>
      <c r="N2" s="189"/>
      <c r="O2" s="115"/>
      <c r="P2" s="137"/>
      <c r="Q2" s="137"/>
      <c r="R2" s="138"/>
      <c r="S2" s="139"/>
      <c r="T2" s="139"/>
      <c r="U2" s="140"/>
      <c r="V2" s="141"/>
      <c r="W2" s="141"/>
      <c r="X2" s="141"/>
      <c r="Y2" s="141"/>
      <c r="Z2" s="141"/>
      <c r="AA2" s="141"/>
      <c r="AB2" s="141"/>
      <c r="AC2" s="3"/>
      <c r="AD2" s="147"/>
      <c r="AE2" s="147"/>
      <c r="AF2" s="147"/>
      <c r="AG2" s="147"/>
      <c r="AH2" s="141"/>
    </row>
    <row r="3" spans="1:48" ht="15" customHeight="1" thickBot="1" x14ac:dyDescent="0.2">
      <c r="B3" s="117"/>
      <c r="C3" s="124"/>
      <c r="D3" s="123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15"/>
      <c r="P3" s="137"/>
      <c r="Q3" s="137"/>
      <c r="R3" s="138"/>
      <c r="S3" s="139"/>
      <c r="T3" s="139"/>
      <c r="U3" s="140"/>
      <c r="V3" s="141"/>
      <c r="W3" s="141"/>
      <c r="X3" s="141"/>
      <c r="Y3" s="141"/>
      <c r="Z3" s="141"/>
      <c r="AA3" s="141"/>
      <c r="AB3" s="141"/>
      <c r="AC3" s="3"/>
      <c r="AD3" s="4" t="s">
        <v>76</v>
      </c>
      <c r="AE3" s="5"/>
      <c r="AF3" s="4" t="s">
        <v>17</v>
      </c>
      <c r="AG3" s="6"/>
    </row>
    <row r="4" spans="1:48" ht="15" customHeight="1" x14ac:dyDescent="0.15">
      <c r="B4" s="117"/>
      <c r="C4" s="124"/>
      <c r="D4" s="123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15"/>
      <c r="P4" s="137"/>
      <c r="Q4" s="137"/>
      <c r="R4" s="138"/>
      <c r="S4" s="139"/>
      <c r="T4" s="139"/>
      <c r="U4" s="140"/>
      <c r="V4" s="141"/>
      <c r="W4" s="141"/>
      <c r="X4" s="141"/>
      <c r="Y4" s="141"/>
      <c r="Z4" s="141"/>
      <c r="AA4" s="141"/>
      <c r="AB4" s="141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88">
        <f>+IF(F13="OK",1,0)</f>
        <v>1</v>
      </c>
    </row>
    <row r="5" spans="1:48" ht="15" customHeight="1" thickBot="1" x14ac:dyDescent="0.2">
      <c r="B5" s="117"/>
      <c r="C5" s="124"/>
      <c r="D5" s="123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15"/>
      <c r="P5" s="137"/>
      <c r="Q5" s="137"/>
      <c r="R5" s="138"/>
      <c r="S5" s="139"/>
      <c r="T5" s="139"/>
      <c r="U5" s="140"/>
      <c r="V5" s="148" t="s">
        <v>7</v>
      </c>
      <c r="W5" s="134"/>
      <c r="X5" s="148" t="s">
        <v>6</v>
      </c>
      <c r="Y5" s="149"/>
      <c r="Z5" s="148" t="s">
        <v>5</v>
      </c>
      <c r="AA5" s="149"/>
      <c r="AB5" s="148" t="s">
        <v>73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88">
        <f>+IF(AS4=1,0,1)</f>
        <v>0</v>
      </c>
    </row>
    <row r="6" spans="1:48" ht="33" customHeight="1" thickBot="1" x14ac:dyDescent="0.2">
      <c r="B6" s="117"/>
      <c r="C6" s="124"/>
      <c r="D6" s="125"/>
      <c r="E6" s="108" t="s">
        <v>10</v>
      </c>
      <c r="F6" s="14">
        <f>COUNTA(Tabla33610673487[Inst])</f>
        <v>62</v>
      </c>
      <c r="G6" s="15" t="s">
        <v>9</v>
      </c>
      <c r="H6" s="15" t="s">
        <v>8</v>
      </c>
      <c r="I6" s="15" t="s">
        <v>61</v>
      </c>
      <c r="J6" s="77" t="s">
        <v>62</v>
      </c>
      <c r="K6" s="127"/>
      <c r="L6" s="199" t="s">
        <v>100</v>
      </c>
      <c r="M6" s="200"/>
      <c r="N6" s="203">
        <f>N13</f>
        <v>18.480000000000004</v>
      </c>
      <c r="O6" s="16"/>
      <c r="P6" s="141"/>
      <c r="Q6" s="142" t="s">
        <v>47</v>
      </c>
      <c r="R6" s="142"/>
      <c r="S6" s="143"/>
      <c r="T6" s="143"/>
      <c r="U6" s="144"/>
      <c r="V6" s="17">
        <f>+V13</f>
        <v>18.480000000000004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84"/>
      <c r="AD6" s="11" t="s">
        <v>18</v>
      </c>
      <c r="AE6" s="12" t="s">
        <v>5</v>
      </c>
      <c r="AF6" s="20"/>
      <c r="AG6" s="22"/>
    </row>
    <row r="7" spans="1:48" ht="15" customHeight="1" thickBot="1" x14ac:dyDescent="0.2">
      <c r="B7" s="117"/>
      <c r="C7" s="118"/>
      <c r="D7" s="117"/>
      <c r="E7" s="109" t="s">
        <v>4</v>
      </c>
      <c r="F7" s="23">
        <f>COUNTIF(Tabla33610673487[No. of Rs],"&gt;0")</f>
        <v>24</v>
      </c>
      <c r="G7" s="24">
        <f>IFERROR((F7/$F$6),"")</f>
        <v>0.38709677419354838</v>
      </c>
      <c r="H7" s="78">
        <f>IFERROR((+P13/F7),"")</f>
        <v>1.7679166666666664</v>
      </c>
      <c r="I7" s="205">
        <f>H7/H9</f>
        <v>2.8050452331245643</v>
      </c>
      <c r="J7" s="205">
        <f>AVERAGE(Tabla33610673487[No. of Rs])</f>
        <v>0.29806451612903234</v>
      </c>
      <c r="K7" s="127"/>
      <c r="L7" s="201"/>
      <c r="M7" s="202"/>
      <c r="N7" s="204"/>
      <c r="O7" s="16"/>
      <c r="P7" s="141"/>
      <c r="Q7" s="142" t="s">
        <v>2</v>
      </c>
      <c r="R7" s="142"/>
      <c r="S7" s="143"/>
      <c r="T7" s="143"/>
      <c r="U7" s="144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85"/>
      <c r="AD7" s="20" t="s">
        <v>75</v>
      </c>
      <c r="AE7" s="21" t="s">
        <v>73</v>
      </c>
      <c r="AF7" s="4" t="s">
        <v>37</v>
      </c>
      <c r="AG7" s="6"/>
    </row>
    <row r="8" spans="1:48" ht="23" customHeight="1" thickBot="1" x14ac:dyDescent="0.2">
      <c r="B8" s="117"/>
      <c r="C8" s="118"/>
      <c r="D8" s="117"/>
      <c r="E8" s="109" t="s">
        <v>3</v>
      </c>
      <c r="F8" s="23">
        <f>COUNTIF(Tabla33610673487[No. of Rs],"=0")</f>
        <v>0</v>
      </c>
      <c r="G8" s="24">
        <f>IFERROR((F8/$F$6),"")</f>
        <v>0</v>
      </c>
      <c r="H8" s="78"/>
      <c r="I8" s="206"/>
      <c r="J8" s="206"/>
      <c r="K8" s="141"/>
      <c r="L8" s="190" t="s">
        <v>101</v>
      </c>
      <c r="M8" s="191"/>
      <c r="N8" s="173">
        <f ca="1">OFFSET(Tabla33610673487[[#Headers],[Equity]],1,0)</f>
        <v>29620</v>
      </c>
      <c r="O8" s="16"/>
      <c r="P8" s="141"/>
      <c r="Q8" s="142" t="s">
        <v>63</v>
      </c>
      <c r="R8" s="142"/>
      <c r="S8" s="143"/>
      <c r="T8" s="143"/>
      <c r="U8" s="144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86"/>
      <c r="AD8" s="141"/>
      <c r="AE8" s="141"/>
      <c r="AF8" s="7" t="s">
        <v>31</v>
      </c>
      <c r="AG8" s="9" t="s">
        <v>33</v>
      </c>
    </row>
    <row r="9" spans="1:48" ht="15" customHeight="1" thickBot="1" x14ac:dyDescent="0.2">
      <c r="B9" s="117"/>
      <c r="C9" s="118"/>
      <c r="D9" s="126"/>
      <c r="E9" s="110" t="s">
        <v>1</v>
      </c>
      <c r="F9" s="31">
        <f>COUNTIF(Tabla33610673487[No. of Rs],"&lt;0")</f>
        <v>38</v>
      </c>
      <c r="G9" s="32">
        <f>IFERROR((F9/$F$6),"")</f>
        <v>0.61290322580645162</v>
      </c>
      <c r="H9" s="79">
        <f>IFERROR((-Q13/F9),"")</f>
        <v>0.63026315789473686</v>
      </c>
      <c r="I9" s="207"/>
      <c r="J9" s="207"/>
      <c r="K9" s="127"/>
      <c r="L9" s="208" t="s">
        <v>95</v>
      </c>
      <c r="M9" s="209"/>
      <c r="N9" s="103">
        <f ca="1">MAX(Tabla33610673487[Drawdown])</f>
        <v>3.5820304769443895E-2</v>
      </c>
      <c r="O9" s="16"/>
      <c r="P9" s="141"/>
      <c r="Q9" s="142" t="s">
        <v>60</v>
      </c>
      <c r="R9" s="142"/>
      <c r="S9" s="143"/>
      <c r="T9" s="143"/>
      <c r="U9" s="144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86"/>
      <c r="AD9" s="141"/>
      <c r="AE9" s="141"/>
      <c r="AF9" s="11" t="s">
        <v>32</v>
      </c>
      <c r="AG9" s="13" t="s">
        <v>34</v>
      </c>
    </row>
    <row r="10" spans="1:48" ht="15" customHeight="1" thickBot="1" x14ac:dyDescent="0.2">
      <c r="B10" s="117"/>
      <c r="C10" s="118"/>
      <c r="D10" s="126"/>
      <c r="E10" s="127"/>
      <c r="F10" s="117"/>
      <c r="G10" s="141"/>
      <c r="H10" s="141"/>
      <c r="I10" s="141"/>
      <c r="J10" s="141"/>
      <c r="K10" s="155"/>
      <c r="L10" s="208" t="s">
        <v>99</v>
      </c>
      <c r="M10" s="209"/>
      <c r="N10" s="103">
        <f ca="1">OFFSET(Tabla33610673487[[#Headers],[Drawdown]],1,0)</f>
        <v>2.1473406012553684E-2</v>
      </c>
      <c r="O10" s="25"/>
      <c r="P10" s="141"/>
      <c r="Q10" s="141"/>
      <c r="R10" s="141"/>
      <c r="S10" s="145"/>
      <c r="T10" s="145"/>
      <c r="U10" s="146"/>
      <c r="V10" s="37" t="s">
        <v>53</v>
      </c>
      <c r="W10" s="38"/>
      <c r="X10" s="38">
        <f>COUNTIF(Tabla33610673487[Heat],"&lt;0")</f>
        <v>0</v>
      </c>
      <c r="Y10" s="38"/>
      <c r="Z10" s="39" t="s">
        <v>54</v>
      </c>
      <c r="AA10" s="38"/>
      <c r="AB10" s="38"/>
      <c r="AC10" s="38"/>
      <c r="AD10" s="141"/>
      <c r="AE10" s="141"/>
      <c r="AF10" s="20"/>
      <c r="AG10" s="22"/>
    </row>
    <row r="11" spans="1:48" ht="15" customHeight="1" thickBot="1" x14ac:dyDescent="0.2">
      <c r="B11" s="117"/>
      <c r="C11" s="118"/>
      <c r="D11" s="126"/>
      <c r="E11" s="111" t="s">
        <v>64</v>
      </c>
      <c r="F11" s="81">
        <v>25000</v>
      </c>
      <c r="G11" s="141"/>
      <c r="H11" s="192" t="s">
        <v>46</v>
      </c>
      <c r="I11" s="193"/>
      <c r="J11" s="80">
        <v>12</v>
      </c>
      <c r="K11" s="141"/>
      <c r="L11" s="141"/>
      <c r="M11" s="141"/>
      <c r="N11" s="141"/>
      <c r="O11" s="141"/>
      <c r="P11" s="141"/>
      <c r="Q11" s="141"/>
      <c r="R11" s="141"/>
      <c r="S11" s="145"/>
      <c r="T11" s="145"/>
      <c r="U11" s="146"/>
      <c r="V11" s="141"/>
      <c r="W11" s="141"/>
      <c r="X11" s="141"/>
      <c r="Y11" s="141"/>
      <c r="Z11" s="141"/>
      <c r="AA11" s="141"/>
      <c r="AB11" s="141"/>
      <c r="AC11" s="3"/>
      <c r="AD11" s="153"/>
      <c r="AE11" s="153"/>
      <c r="AF11" s="153"/>
      <c r="AG11" s="141"/>
      <c r="AH11" s="141"/>
    </row>
    <row r="12" spans="1:48" ht="15" customHeight="1" thickBot="1" x14ac:dyDescent="0.2">
      <c r="B12" s="117"/>
      <c r="C12" s="118"/>
      <c r="D12" s="117"/>
      <c r="E12" s="128"/>
      <c r="F12" s="117"/>
      <c r="G12" s="141"/>
      <c r="H12" s="194" t="s">
        <v>65</v>
      </c>
      <c r="I12" s="195"/>
      <c r="J12" s="82" t="str">
        <f>IF(COUNTIFS(Tabla33610673487[O/C],"O")&lt;1,"None",COUNTIFS(Tabla33610673487[O/C],"O"))</f>
        <v>None</v>
      </c>
      <c r="K12" s="155"/>
      <c r="L12" s="117"/>
      <c r="M12" s="117"/>
      <c r="N12" s="117"/>
      <c r="O12" s="117"/>
      <c r="P12" s="117"/>
      <c r="Q12" s="117"/>
      <c r="R12" s="117"/>
      <c r="S12" s="132"/>
      <c r="T12" s="132"/>
      <c r="U12" s="133"/>
      <c r="V12" s="141"/>
      <c r="W12" s="150"/>
      <c r="X12" s="151"/>
      <c r="Y12" s="151"/>
      <c r="Z12" s="152"/>
      <c r="AA12" s="151"/>
      <c r="AB12" s="152"/>
      <c r="AC12" s="40"/>
      <c r="AD12" s="196" t="s">
        <v>42</v>
      </c>
      <c r="AE12" s="197"/>
      <c r="AF12" s="197"/>
      <c r="AG12" s="198"/>
      <c r="AP12" s="89"/>
      <c r="AQ12" s="89"/>
      <c r="AR12" s="89"/>
      <c r="AS12" s="89"/>
      <c r="AT12" s="89"/>
      <c r="AV12" s="88" t="s">
        <v>12</v>
      </c>
    </row>
    <row r="13" spans="1:48" ht="15" customHeight="1" thickBot="1" x14ac:dyDescent="0.2">
      <c r="B13" s="117"/>
      <c r="C13" s="118"/>
      <c r="D13" s="117"/>
      <c r="E13" s="112" t="s">
        <v>0</v>
      </c>
      <c r="F13" s="41" t="str">
        <f>IF((+F6-SUM(F7:F9))&lt;&gt;0,"ERROR!!","OK")</f>
        <v>OK</v>
      </c>
      <c r="G13" s="141"/>
      <c r="H13" s="141"/>
      <c r="I13" s="141"/>
      <c r="J13" s="156"/>
      <c r="K13" s="155"/>
      <c r="L13" s="117"/>
      <c r="M13" s="117"/>
      <c r="N13" s="74">
        <f>SUM(Tabla33610673487[No. of Rs])</f>
        <v>18.480000000000004</v>
      </c>
      <c r="O13" s="42">
        <f>SUM(Tabla33610673487[Heat])</f>
        <v>0</v>
      </c>
      <c r="P13" s="43">
        <f>SUM(Tabla33610673487[[ TR WIN]])</f>
        <v>42.429999999999993</v>
      </c>
      <c r="Q13" s="43">
        <f>SUM(Tabla33610673487[[ TR LOSS]])</f>
        <v>-23.95</v>
      </c>
      <c r="R13" s="92"/>
      <c r="S13" s="93"/>
      <c r="T13" s="93"/>
      <c r="U13" s="99"/>
      <c r="V13" s="44">
        <f>SUM(Tabla33610673487[Currency])</f>
        <v>18.480000000000004</v>
      </c>
      <c r="W13" s="44">
        <f>SUM(Tabla33610673487[Heat3])</f>
        <v>0</v>
      </c>
      <c r="X13" s="44">
        <f>SUM(Tabla33610673487[Commodities])</f>
        <v>0</v>
      </c>
      <c r="Y13" s="44">
        <f>SUM(Tabla33610673487[Heat4])</f>
        <v>0</v>
      </c>
      <c r="Z13" s="44">
        <f>SUM(Tabla33610673487[Index])</f>
        <v>0</v>
      </c>
      <c r="AA13" s="44">
        <f>SUM(Tabla33610673487[Heat5])</f>
        <v>0</v>
      </c>
      <c r="AB13" s="44">
        <f>SUM(Tabla33610673487[Cryptocurrency])</f>
        <v>0</v>
      </c>
      <c r="AC13" s="44">
        <f>SUM(Tabla33610673487[Heat6])</f>
        <v>0</v>
      </c>
      <c r="AD13" s="75">
        <f>AVERAGEIF(Tabla33610673487[Length of 
Trade],"&lt;&gt;0")</f>
        <v>0.59845430107476028</v>
      </c>
      <c r="AE13" s="75">
        <f>AVERAGEIF(Tabla33610673487[Win],"&lt;&gt;0")</f>
        <v>0.84947916666593903</v>
      </c>
      <c r="AF13" s="75">
        <f>AVERAGEIF(Tabla33610673487[Loss],"&lt;&gt;0")</f>
        <v>0.43991228070138422</v>
      </c>
      <c r="AG13" s="76" t="e">
        <f>AVERAGEIF(Tabla33610673487[Breakeven],"&lt;&gt;0")</f>
        <v>#DIV/0!</v>
      </c>
      <c r="AP13" s="89"/>
      <c r="AV13" s="88" t="s">
        <v>11</v>
      </c>
    </row>
    <row r="14" spans="1:48" ht="15" customHeight="1" thickBot="1" x14ac:dyDescent="0.2">
      <c r="B14" s="117"/>
      <c r="C14" s="118"/>
      <c r="D14" s="117"/>
      <c r="E14" s="127"/>
      <c r="F14" s="129"/>
      <c r="G14" s="157"/>
      <c r="H14" s="157"/>
      <c r="I14" s="157"/>
      <c r="J14" s="157"/>
      <c r="K14" s="158"/>
      <c r="L14" s="129"/>
      <c r="M14" s="129"/>
      <c r="N14" s="129"/>
      <c r="O14" s="129"/>
      <c r="P14" s="129"/>
      <c r="Q14" s="129"/>
      <c r="R14" s="129"/>
      <c r="S14" s="130"/>
      <c r="T14" s="130"/>
      <c r="U14" s="131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</row>
    <row r="15" spans="1:48" s="90" customFormat="1" ht="43" thickBot="1" x14ac:dyDescent="0.2">
      <c r="A15" s="118"/>
      <c r="B15" s="45" t="s">
        <v>29</v>
      </c>
      <c r="C15" s="46" t="s">
        <v>28</v>
      </c>
      <c r="D15" s="45" t="s">
        <v>35</v>
      </c>
      <c r="E15" s="113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05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97" t="s">
        <v>98</v>
      </c>
      <c r="S15" s="94" t="s">
        <v>93</v>
      </c>
      <c r="T15" s="104" t="s">
        <v>96</v>
      </c>
      <c r="U15" s="100" t="s">
        <v>94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75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18"/>
      <c r="AI15" s="87"/>
    </row>
    <row r="16" spans="1:48" s="90" customFormat="1" ht="42" hidden="1" x14ac:dyDescent="0.15">
      <c r="A16" s="118"/>
      <c r="B16" s="60" t="s">
        <v>29</v>
      </c>
      <c r="C16" s="61" t="s">
        <v>28</v>
      </c>
      <c r="D16" s="62" t="s">
        <v>35</v>
      </c>
      <c r="E16" s="114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06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98" t="s">
        <v>98</v>
      </c>
      <c r="S16" s="95" t="s">
        <v>93</v>
      </c>
      <c r="T16" s="95" t="s">
        <v>96</v>
      </c>
      <c r="U16" s="101" t="s">
        <v>94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75</v>
      </c>
      <c r="AC16" s="68" t="s">
        <v>92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54"/>
      <c r="AI16" s="87"/>
    </row>
    <row r="17" spans="1:35" s="90" customFormat="1" ht="14" x14ac:dyDescent="0.15">
      <c r="A17" s="118"/>
      <c r="B17" s="174" t="s">
        <v>7</v>
      </c>
      <c r="C17" s="175" t="s">
        <v>15</v>
      </c>
      <c r="D17" s="176" t="str">
        <f t="shared" ref="D17:D48" si="0">IF(E17&lt;&gt;"",IF(K17&lt;&gt;"","C","O"),"")</f>
        <v>C</v>
      </c>
      <c r="E17" s="177" t="d">
        <v>2021-12-30T03:30:00.00000020954757600</v>
      </c>
      <c r="F17" s="178" t="s">
        <v>103</v>
      </c>
      <c r="G17" s="179">
        <v>115.04900000000001</v>
      </c>
      <c r="H17" s="179">
        <v>114.92100000000001</v>
      </c>
      <c r="I17" s="180">
        <f t="shared" ref="I17:I48" si="1">ABS(G17-H17)</f>
        <v>0.12800000000000011</v>
      </c>
      <c r="J17" s="179">
        <v>115.851</v>
      </c>
      <c r="K17" s="177" t="d">
        <v>2021-12-30T14:36:59.99999990221113300</v>
      </c>
      <c r="L17" s="179">
        <v>115.036</v>
      </c>
      <c r="M17" s="181">
        <f t="shared" ref="M17:M48" si="2">ROUND(IF(C17="L",(L17-G17),(G17-L17)),4)</f>
        <v>-1.2999999999999999E-2</v>
      </c>
      <c r="N17" s="182">
        <f t="shared" ref="N17:N48" si="3">IFERROR(ROUND((M17/I17),2),"")</f>
        <v>-0.1</v>
      </c>
      <c r="O17" s="183">
        <f t="shared" ref="O17:O48" si="4">IF(D17="O",IF(N17&lt;0,N17,0),0)</f>
        <v>0</v>
      </c>
      <c r="P17" s="184">
        <f t="shared" ref="P17:P48" si="5">IF(N17&gt;= 0,N17,0)</f>
        <v>0</v>
      </c>
      <c r="Q17" s="184">
        <f t="shared" ref="Q17:Q48" si="6">IF(N17&lt;0,N17,0)</f>
        <v>-0.1</v>
      </c>
      <c r="R17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17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29620</v>
      </c>
      <c r="T17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30270</v>
      </c>
      <c r="U17" s="186">
        <f ca="1">IF(Tabla33610673487[[#This Row],[Equity]]&lt;Tabla33610673487[[#This Row],[Equity Peak]],(Tabla33610673487[[#This Row],[Equity Peak]]-Tabla33610673487[[#This Row],[Equity]])/Tabla33610673487[[#This Row],[Equity Peak]],"")</f>
        <v>2.1473406012553684E-2</v>
      </c>
      <c r="V17" s="187">
        <f t="shared" ref="V17:V48" si="7">IF(B17="FX",N17,0)</f>
        <v>-0.1</v>
      </c>
      <c r="W17" s="187">
        <f t="shared" ref="W17:W48" si="8">IF(D17="O",IF(V17&lt;0,V17,0),0)</f>
        <v>0</v>
      </c>
      <c r="X17" s="187">
        <f t="shared" ref="X17:X48" si="9">IF(B17="COM",N17,0)</f>
        <v>0</v>
      </c>
      <c r="Y17" s="187">
        <f t="shared" ref="Y17:Y48" si="10">IF(D17="O",IF(X17&lt;0,X17,0),0)</f>
        <v>0</v>
      </c>
      <c r="Z17" s="187">
        <f t="shared" ref="Z17:Z48" si="11">IF(B17="IND",N17,0)</f>
        <v>0</v>
      </c>
      <c r="AA17" s="183">
        <f t="shared" ref="AA17:AA48" si="12">IF(D17="O",IF(Z17&lt;0,Z17,0),0)</f>
        <v>0</v>
      </c>
      <c r="AB17" s="187">
        <f t="shared" ref="AB17:AB48" si="13">IF(B17="CRYPTO",N17,0)</f>
        <v>0</v>
      </c>
      <c r="AC17" s="183">
        <f t="shared" ref="AC17:AC48" si="14">IF(D17="O",IF(AB17&lt;0,AB17,0),0)</f>
        <v>0</v>
      </c>
      <c r="AD17" s="188">
        <f t="shared" ref="AD17:AD48" si="15">IF(K17&lt;&gt;"",K17-E17,0)</f>
        <v>0.46319444444088731</v>
      </c>
      <c r="AE17" s="188">
        <f t="shared" ref="AE17:AE48" si="16">IF(N17&gt;0,AD17,0)</f>
        <v>0</v>
      </c>
      <c r="AF17" s="188">
        <f t="shared" ref="AF17:AF48" si="17">IF(N17&lt;0,AD17,0)</f>
        <v>0.46319444444088731</v>
      </c>
      <c r="AG17" s="188">
        <f t="shared" ref="AG17:AG48" si="18">IF(N17=0,AD17,0)</f>
        <v>0</v>
      </c>
      <c r="AH17" s="154"/>
      <c r="AI17" s="87"/>
    </row>
    <row r="18" spans="1:35" ht="15" customHeight="1" x14ac:dyDescent="0.15">
      <c r="B18" s="174" t="s">
        <v>7</v>
      </c>
      <c r="C18" s="175" t="s">
        <v>15</v>
      </c>
      <c r="D18" s="176" t="str">
        <f t="shared" si="0"/>
        <v>C</v>
      </c>
      <c r="E18" s="177" t="d">
        <v>2021-12-29T10:30:00.000</v>
      </c>
      <c r="F18" s="178" t="s">
        <v>103</v>
      </c>
      <c r="G18" s="179">
        <v>114.971</v>
      </c>
      <c r="H18" s="179">
        <v>114.849</v>
      </c>
      <c r="I18" s="180">
        <f t="shared" si="1"/>
        <v>0.12199999999999989</v>
      </c>
      <c r="J18" s="179">
        <v>115.735</v>
      </c>
      <c r="K18" s="177" t="d">
        <v>2021-12-29T13:54:59.99999986030161375</v>
      </c>
      <c r="L18" s="179">
        <v>114.863</v>
      </c>
      <c r="M18" s="181">
        <f t="shared" si="2"/>
        <v>-0.108</v>
      </c>
      <c r="N18" s="182">
        <f t="shared" si="3"/>
        <v>-0.89</v>
      </c>
      <c r="O18" s="183">
        <f t="shared" si="4"/>
        <v>0</v>
      </c>
      <c r="P18" s="184">
        <f t="shared" si="5"/>
        <v>0</v>
      </c>
      <c r="Q18" s="184">
        <f t="shared" si="6"/>
        <v>-0.89</v>
      </c>
      <c r="R18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18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29645</v>
      </c>
      <c r="T18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30270</v>
      </c>
      <c r="U18" s="186">
        <f ca="1">IF(Tabla33610673487[[#This Row],[Equity]]&lt;Tabla33610673487[[#This Row],[Equity Peak]],(Tabla33610673487[[#This Row],[Equity Peak]]-Tabla33610673487[[#This Row],[Equity]])/Tabla33610673487[[#This Row],[Equity Peak]],"")</f>
        <v>2.0647505781301617E-2</v>
      </c>
      <c r="V18" s="187">
        <f t="shared" si="7"/>
        <v>-0.89</v>
      </c>
      <c r="W18" s="187">
        <f t="shared" si="8"/>
        <v>0</v>
      </c>
      <c r="X18" s="187">
        <f t="shared" si="9"/>
        <v>0</v>
      </c>
      <c r="Y18" s="187">
        <f t="shared" si="10"/>
        <v>0</v>
      </c>
      <c r="Z18" s="187">
        <f t="shared" si="11"/>
        <v>0</v>
      </c>
      <c r="AA18" s="183">
        <f t="shared" si="12"/>
        <v>0</v>
      </c>
      <c r="AB18" s="187">
        <f t="shared" si="13"/>
        <v>0</v>
      </c>
      <c r="AC18" s="183">
        <f t="shared" si="14"/>
        <v>0</v>
      </c>
      <c r="AD18" s="188">
        <f t="shared" si="15"/>
        <v>0.14236111110949423</v>
      </c>
      <c r="AE18" s="188">
        <f t="shared" si="16"/>
        <v>0</v>
      </c>
      <c r="AF18" s="188">
        <f t="shared" si="17"/>
        <v>0.14236111110949423</v>
      </c>
      <c r="AG18" s="188">
        <f t="shared" si="18"/>
        <v>0</v>
      </c>
    </row>
    <row r="19" spans="1:35" ht="15" customHeight="1" x14ac:dyDescent="0.15">
      <c r="B19" s="174" t="s">
        <v>7</v>
      </c>
      <c r="C19" s="175" t="s">
        <v>15</v>
      </c>
      <c r="D19" s="176" t="str">
        <f t="shared" si="0"/>
        <v>C</v>
      </c>
      <c r="E19" s="177" t="d">
        <v>2021-12-27T10:15:00.00000020954757600</v>
      </c>
      <c r="F19" s="178" t="s">
        <v>103</v>
      </c>
      <c r="G19" s="179">
        <v>114.54</v>
      </c>
      <c r="H19" s="179">
        <v>114.407</v>
      </c>
      <c r="I19" s="180">
        <f t="shared" si="1"/>
        <v>0.13300000000000978</v>
      </c>
      <c r="J19" s="179">
        <v>115.376</v>
      </c>
      <c r="K19" s="177" t="d">
        <v>2021-12-28T11:17:59.9999999580904875</v>
      </c>
      <c r="L19" s="179">
        <v>114.759</v>
      </c>
      <c r="M19" s="181">
        <f t="shared" si="2"/>
        <v>0.219</v>
      </c>
      <c r="N19" s="182">
        <f t="shared" si="3"/>
        <v>1.65</v>
      </c>
      <c r="O19" s="183">
        <f t="shared" si="4"/>
        <v>0</v>
      </c>
      <c r="P19" s="184">
        <f t="shared" si="5"/>
        <v>1.65</v>
      </c>
      <c r="Q19" s="184">
        <f t="shared" si="6"/>
        <v>0</v>
      </c>
      <c r="R19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19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29867.5</v>
      </c>
      <c r="T19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30270</v>
      </c>
      <c r="U19" s="186">
        <f ca="1">IF(Tabla33610673487[[#This Row],[Equity]]&lt;Tabla33610673487[[#This Row],[Equity Peak]],(Tabla33610673487[[#This Row],[Equity Peak]]-Tabla33610673487[[#This Row],[Equity]])/Tabla33610673487[[#This Row],[Equity Peak]],"")</f>
        <v>1.3296993723158242E-2</v>
      </c>
      <c r="V19" s="187">
        <f t="shared" si="7"/>
        <v>1.65</v>
      </c>
      <c r="W19" s="187">
        <f t="shared" si="8"/>
        <v>0</v>
      </c>
      <c r="X19" s="187">
        <f t="shared" si="9"/>
        <v>0</v>
      </c>
      <c r="Y19" s="187">
        <f t="shared" si="10"/>
        <v>0</v>
      </c>
      <c r="Z19" s="187">
        <f t="shared" si="11"/>
        <v>0</v>
      </c>
      <c r="AA19" s="183">
        <f t="shared" si="12"/>
        <v>0</v>
      </c>
      <c r="AB19" s="187">
        <f t="shared" si="13"/>
        <v>0</v>
      </c>
      <c r="AC19" s="183">
        <f t="shared" si="14"/>
        <v>0</v>
      </c>
      <c r="AD19" s="188">
        <f t="shared" si="15"/>
        <v>1.0437499999970896</v>
      </c>
      <c r="AE19" s="188">
        <f t="shared" si="16"/>
        <v>1.0437499999970896</v>
      </c>
      <c r="AF19" s="188">
        <f t="shared" si="17"/>
        <v>0</v>
      </c>
      <c r="AG19" s="188">
        <f t="shared" si="18"/>
        <v>0</v>
      </c>
    </row>
    <row r="20" spans="1:35" ht="15" customHeight="1" x14ac:dyDescent="0.15">
      <c r="B20" s="174" t="s">
        <v>7</v>
      </c>
      <c r="C20" s="175" t="s">
        <v>15</v>
      </c>
      <c r="D20" s="176" t="str">
        <f t="shared" si="0"/>
        <v>C</v>
      </c>
      <c r="E20" s="177" t="d">
        <v>2021-12-23T14:29:59.99999979045242400</v>
      </c>
      <c r="F20" s="178" t="s">
        <v>103</v>
      </c>
      <c r="G20" s="179">
        <v>114.381</v>
      </c>
      <c r="H20" s="179">
        <v>114.203</v>
      </c>
      <c r="I20" s="180">
        <f t="shared" si="1"/>
        <v>0.17799999999999727</v>
      </c>
      <c r="J20" s="179">
        <v>115.497</v>
      </c>
      <c r="K20" s="177" t="d">
        <v>2021-12-24T23:45:00.00000020954757600</v>
      </c>
      <c r="L20" s="179">
        <v>114.276</v>
      </c>
      <c r="M20" s="181">
        <f t="shared" si="2"/>
        <v>-0.105</v>
      </c>
      <c r="N20" s="182">
        <f t="shared" si="3"/>
        <v>-0.59</v>
      </c>
      <c r="O20" s="183">
        <f t="shared" si="4"/>
        <v>0</v>
      </c>
      <c r="P20" s="184">
        <f t="shared" si="5"/>
        <v>0</v>
      </c>
      <c r="Q20" s="184">
        <f t="shared" si="6"/>
        <v>-0.59</v>
      </c>
      <c r="R20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0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29455</v>
      </c>
      <c r="T20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30270</v>
      </c>
      <c r="U20" s="186">
        <f ca="1">IF(Tabla33610673487[[#This Row],[Equity]]&lt;Tabla33610673487[[#This Row],[Equity Peak]],(Tabla33610673487[[#This Row],[Equity Peak]]-Tabla33610673487[[#This Row],[Equity]])/Tabla33610673487[[#This Row],[Equity Peak]],"")</f>
        <v>2.6924347538817311E-2</v>
      </c>
      <c r="V20" s="187">
        <f t="shared" si="7"/>
        <v>-0.59</v>
      </c>
      <c r="W20" s="187">
        <f t="shared" si="8"/>
        <v>0</v>
      </c>
      <c r="X20" s="187">
        <f t="shared" si="9"/>
        <v>0</v>
      </c>
      <c r="Y20" s="187">
        <f t="shared" si="10"/>
        <v>0</v>
      </c>
      <c r="Z20" s="187">
        <f t="shared" si="11"/>
        <v>0</v>
      </c>
      <c r="AA20" s="183">
        <f t="shared" si="12"/>
        <v>0</v>
      </c>
      <c r="AB20" s="187">
        <f t="shared" si="13"/>
        <v>0</v>
      </c>
      <c r="AC20" s="183">
        <f t="shared" si="14"/>
        <v>0</v>
      </c>
      <c r="AD20" s="188">
        <f t="shared" si="15"/>
        <v>1.3854166666715173</v>
      </c>
      <c r="AE20" s="188">
        <f t="shared" si="16"/>
        <v>0</v>
      </c>
      <c r="AF20" s="188">
        <f t="shared" si="17"/>
        <v>1.3854166666715173</v>
      </c>
      <c r="AG20" s="188">
        <f t="shared" si="18"/>
        <v>0</v>
      </c>
    </row>
    <row r="21" spans="1:35" ht="15" customHeight="1" x14ac:dyDescent="0.15">
      <c r="B21" s="174" t="s">
        <v>7</v>
      </c>
      <c r="C21" s="175" t="s">
        <v>15</v>
      </c>
      <c r="D21" s="176" t="str">
        <f t="shared" si="0"/>
        <v>C</v>
      </c>
      <c r="E21" s="177" t="d">
        <v>2021-12-22T10:30:00.000</v>
      </c>
      <c r="F21" s="178" t="s">
        <v>103</v>
      </c>
      <c r="G21" s="179">
        <v>114.30500000000001</v>
      </c>
      <c r="H21" s="179">
        <v>114.105</v>
      </c>
      <c r="I21" s="180">
        <f t="shared" si="1"/>
        <v>0.20000000000000284</v>
      </c>
      <c r="J21" s="179">
        <v>115.562</v>
      </c>
      <c r="K21" s="177" t="d">
        <v>2021-12-22T22:47:59.99999974854290475</v>
      </c>
      <c r="L21" s="179">
        <v>114.105</v>
      </c>
      <c r="M21" s="181">
        <f t="shared" si="2"/>
        <v>-0.2</v>
      </c>
      <c r="N21" s="182">
        <f t="shared" si="3"/>
        <v>-1</v>
      </c>
      <c r="O21" s="183">
        <f t="shared" si="4"/>
        <v>0</v>
      </c>
      <c r="P21" s="184">
        <f t="shared" si="5"/>
        <v>0</v>
      </c>
      <c r="Q21" s="184">
        <f t="shared" si="6"/>
        <v>-1</v>
      </c>
      <c r="R21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1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29602.5</v>
      </c>
      <c r="T21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30270</v>
      </c>
      <c r="U21" s="186">
        <f ca="1">IF(Tabla33610673487[[#This Row],[Equity]]&lt;Tabla33610673487[[#This Row],[Equity Peak]],(Tabla33610673487[[#This Row],[Equity Peak]]-Tabla33610673487[[#This Row],[Equity]])/Tabla33610673487[[#This Row],[Equity Peak]],"")</f>
        <v>2.205153617443013E-2</v>
      </c>
      <c r="V21" s="187">
        <f t="shared" si="7"/>
        <v>-1</v>
      </c>
      <c r="W21" s="187">
        <f t="shared" si="8"/>
        <v>0</v>
      </c>
      <c r="X21" s="187">
        <f t="shared" si="9"/>
        <v>0</v>
      </c>
      <c r="Y21" s="187">
        <f t="shared" si="10"/>
        <v>0</v>
      </c>
      <c r="Z21" s="187">
        <f t="shared" si="11"/>
        <v>0</v>
      </c>
      <c r="AA21" s="183">
        <f t="shared" si="12"/>
        <v>0</v>
      </c>
      <c r="AB21" s="187">
        <f t="shared" si="13"/>
        <v>0</v>
      </c>
      <c r="AC21" s="183">
        <f t="shared" si="14"/>
        <v>0</v>
      </c>
      <c r="AD21" s="188">
        <f t="shared" si="15"/>
        <v>0.51249999999708962</v>
      </c>
      <c r="AE21" s="188">
        <f t="shared" si="16"/>
        <v>0</v>
      </c>
      <c r="AF21" s="188">
        <f t="shared" si="17"/>
        <v>0.51249999999708962</v>
      </c>
      <c r="AG21" s="188">
        <f t="shared" si="18"/>
        <v>0</v>
      </c>
    </row>
    <row r="22" spans="1:35" ht="15" customHeight="1" x14ac:dyDescent="0.15">
      <c r="B22" s="174" t="s">
        <v>7</v>
      </c>
      <c r="C22" s="175" t="s">
        <v>15</v>
      </c>
      <c r="D22" s="176" t="str">
        <f t="shared" si="0"/>
        <v>C</v>
      </c>
      <c r="E22" s="177" t="d">
        <v>2021-12-15T20:45:00.00000020954757600</v>
      </c>
      <c r="F22" s="178" t="s">
        <v>103</v>
      </c>
      <c r="G22" s="179">
        <v>113.983</v>
      </c>
      <c r="H22" s="179">
        <v>113.801</v>
      </c>
      <c r="I22" s="180">
        <f t="shared" si="1"/>
        <v>0.18200000000000216</v>
      </c>
      <c r="J22" s="179">
        <v>115.129</v>
      </c>
      <c r="K22" s="177" t="d">
        <v>2021-12-15T23:58:00.00000023748725325</v>
      </c>
      <c r="L22" s="179">
        <v>113.949</v>
      </c>
      <c r="M22" s="181">
        <f t="shared" si="2"/>
        <v>-3.4000000000000002E-2</v>
      </c>
      <c r="N22" s="182">
        <f t="shared" si="3"/>
        <v>-0.19</v>
      </c>
      <c r="O22" s="183">
        <f t="shared" si="4"/>
        <v>0</v>
      </c>
      <c r="P22" s="184">
        <f t="shared" si="5"/>
        <v>0</v>
      </c>
      <c r="Q22" s="184">
        <f t="shared" si="6"/>
        <v>-0.19</v>
      </c>
      <c r="R22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2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29852.5</v>
      </c>
      <c r="T22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30270</v>
      </c>
      <c r="U22" s="186">
        <f ca="1">IF(Tabla33610673487[[#This Row],[Equity]]&lt;Tabla33610673487[[#This Row],[Equity Peak]],(Tabla33610673487[[#This Row],[Equity Peak]]-Tabla33610673487[[#This Row],[Equity]])/Tabla33610673487[[#This Row],[Equity Peak]],"")</f>
        <v>1.379253386190948E-2</v>
      </c>
      <c r="V22" s="187">
        <f t="shared" si="7"/>
        <v>-0.19</v>
      </c>
      <c r="W22" s="187">
        <f t="shared" si="8"/>
        <v>0</v>
      </c>
      <c r="X22" s="187">
        <f t="shared" si="9"/>
        <v>0</v>
      </c>
      <c r="Y22" s="187">
        <f t="shared" si="10"/>
        <v>0</v>
      </c>
      <c r="Z22" s="187">
        <f t="shared" si="11"/>
        <v>0</v>
      </c>
      <c r="AA22" s="183">
        <f t="shared" si="12"/>
        <v>0</v>
      </c>
      <c r="AB22" s="187">
        <f t="shared" si="13"/>
        <v>0</v>
      </c>
      <c r="AC22" s="183">
        <f t="shared" si="14"/>
        <v>0</v>
      </c>
      <c r="AD22" s="188">
        <f t="shared" si="15"/>
        <v>0.13402777777810115</v>
      </c>
      <c r="AE22" s="188">
        <f t="shared" si="16"/>
        <v>0</v>
      </c>
      <c r="AF22" s="188">
        <f t="shared" si="17"/>
        <v>0.13402777777810115</v>
      </c>
      <c r="AG22" s="188">
        <f t="shared" si="18"/>
        <v>0</v>
      </c>
    </row>
    <row r="23" spans="1:35" ht="15" customHeight="1" x14ac:dyDescent="0.15">
      <c r="B23" s="174" t="s">
        <v>7</v>
      </c>
      <c r="C23" s="175" t="s">
        <v>13</v>
      </c>
      <c r="D23" s="176" t="str">
        <f t="shared" si="0"/>
        <v>C</v>
      </c>
      <c r="E23" s="177" t="d">
        <v>2021-11-30T10:44:59.99999979045242400</v>
      </c>
      <c r="F23" s="178" t="s">
        <v>103</v>
      </c>
      <c r="G23" s="179">
        <v>112.934</v>
      </c>
      <c r="H23" s="179">
        <v>113.241</v>
      </c>
      <c r="I23" s="180">
        <f t="shared" si="1"/>
        <v>0.30700000000000216</v>
      </c>
      <c r="J23" s="179">
        <v>111.005</v>
      </c>
      <c r="K23" s="177" t="d">
        <v>2021-11-30T17:35:00.00000013969838625</v>
      </c>
      <c r="L23" s="179">
        <v>113.029</v>
      </c>
      <c r="M23" s="181">
        <f t="shared" si="2"/>
        <v>-9.5000000000000001E-2</v>
      </c>
      <c r="N23" s="182">
        <f t="shared" si="3"/>
        <v>-0.31</v>
      </c>
      <c r="O23" s="183">
        <f t="shared" si="4"/>
        <v>0</v>
      </c>
      <c r="P23" s="184">
        <f t="shared" si="5"/>
        <v>0</v>
      </c>
      <c r="Q23" s="184">
        <f t="shared" si="6"/>
        <v>-0.31</v>
      </c>
      <c r="R23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3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29900</v>
      </c>
      <c r="T23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30270</v>
      </c>
      <c r="U23" s="186">
        <f ca="1">IF(Tabla33610673487[[#This Row],[Equity]]&lt;Tabla33610673487[[#This Row],[Equity Peak]],(Tabla33610673487[[#This Row],[Equity Peak]]-Tabla33610673487[[#This Row],[Equity]])/Tabla33610673487[[#This Row],[Equity Peak]],"")</f>
        <v>1.2223323422530559E-2</v>
      </c>
      <c r="V23" s="187">
        <f t="shared" si="7"/>
        <v>-0.31</v>
      </c>
      <c r="W23" s="187">
        <f t="shared" si="8"/>
        <v>0</v>
      </c>
      <c r="X23" s="187">
        <f t="shared" si="9"/>
        <v>0</v>
      </c>
      <c r="Y23" s="187">
        <f t="shared" si="10"/>
        <v>0</v>
      </c>
      <c r="Z23" s="187">
        <f t="shared" si="11"/>
        <v>0</v>
      </c>
      <c r="AA23" s="183">
        <f t="shared" si="12"/>
        <v>0</v>
      </c>
      <c r="AB23" s="187">
        <f t="shared" si="13"/>
        <v>0</v>
      </c>
      <c r="AC23" s="183">
        <f t="shared" si="14"/>
        <v>0</v>
      </c>
      <c r="AD23" s="188">
        <f t="shared" si="15"/>
        <v>0.28472222222626442</v>
      </c>
      <c r="AE23" s="188">
        <f t="shared" si="16"/>
        <v>0</v>
      </c>
      <c r="AF23" s="188">
        <f t="shared" si="17"/>
        <v>0.28472222222626442</v>
      </c>
      <c r="AG23" s="188">
        <f t="shared" si="18"/>
        <v>0</v>
      </c>
    </row>
    <row r="24" spans="1:35" ht="15" customHeight="1" x14ac:dyDescent="0.15">
      <c r="B24" s="174" t="s">
        <v>7</v>
      </c>
      <c r="C24" s="175" t="s">
        <v>15</v>
      </c>
      <c r="D24" s="176" t="str">
        <f t="shared" si="0"/>
        <v>C</v>
      </c>
      <c r="E24" s="177" t="d">
        <v>2021-11-24T16:15:00.00000020954757600</v>
      </c>
      <c r="F24" s="178" t="s">
        <v>103</v>
      </c>
      <c r="G24" s="179">
        <v>115.288</v>
      </c>
      <c r="H24" s="179">
        <v>115.04600000000001</v>
      </c>
      <c r="I24" s="180">
        <f t="shared" si="1"/>
        <v>0.24199999999999022</v>
      </c>
      <c r="J24" s="179">
        <v>116.807</v>
      </c>
      <c r="K24" s="177" t="d">
        <v>2021-11-26T01:31:59.99999976251274675</v>
      </c>
      <c r="L24" s="179">
        <v>115.17</v>
      </c>
      <c r="M24" s="181">
        <f t="shared" si="2"/>
        <v>-0.11799999999999999</v>
      </c>
      <c r="N24" s="182">
        <f t="shared" si="3"/>
        <v>-0.49</v>
      </c>
      <c r="O24" s="183">
        <f t="shared" si="4"/>
        <v>0</v>
      </c>
      <c r="P24" s="184">
        <f t="shared" si="5"/>
        <v>0</v>
      </c>
      <c r="Q24" s="184">
        <f t="shared" si="6"/>
        <v>-0.49</v>
      </c>
      <c r="R24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4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29977.5</v>
      </c>
      <c r="T24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30270</v>
      </c>
      <c r="U24" s="186">
        <f ca="1">IF(Tabla33610673487[[#This Row],[Equity]]&lt;Tabla33610673487[[#This Row],[Equity Peak]],(Tabla33610673487[[#This Row],[Equity Peak]]-Tabla33610673487[[#This Row],[Equity]])/Tabla33610673487[[#This Row],[Equity Peak]],"")</f>
        <v>9.6630327056491574E-3</v>
      </c>
      <c r="V24" s="187">
        <f t="shared" si="7"/>
        <v>-0.49</v>
      </c>
      <c r="W24" s="187">
        <f t="shared" si="8"/>
        <v>0</v>
      </c>
      <c r="X24" s="187">
        <f t="shared" si="9"/>
        <v>0</v>
      </c>
      <c r="Y24" s="187">
        <f t="shared" si="10"/>
        <v>0</v>
      </c>
      <c r="Z24" s="187">
        <f t="shared" si="11"/>
        <v>0</v>
      </c>
      <c r="AA24" s="183">
        <f t="shared" si="12"/>
        <v>0</v>
      </c>
      <c r="AB24" s="187">
        <f t="shared" si="13"/>
        <v>0</v>
      </c>
      <c r="AC24" s="183">
        <f t="shared" si="14"/>
        <v>0</v>
      </c>
      <c r="AD24" s="188">
        <f t="shared" si="15"/>
        <v>1.3868055555503815</v>
      </c>
      <c r="AE24" s="188">
        <f t="shared" si="16"/>
        <v>0</v>
      </c>
      <c r="AF24" s="188">
        <f t="shared" si="17"/>
        <v>1.3868055555503815</v>
      </c>
      <c r="AG24" s="188">
        <f t="shared" si="18"/>
        <v>0</v>
      </c>
    </row>
    <row r="25" spans="1:35" ht="15" customHeight="1" x14ac:dyDescent="0.15">
      <c r="B25" s="174" t="s">
        <v>7</v>
      </c>
      <c r="C25" s="175" t="s">
        <v>15</v>
      </c>
      <c r="D25" s="176" t="str">
        <f t="shared" si="0"/>
        <v>C</v>
      </c>
      <c r="E25" s="177" t="d">
        <v>2021-11-23T04:15:00.00000020954757600</v>
      </c>
      <c r="F25" s="178" t="s">
        <v>103</v>
      </c>
      <c r="G25" s="179">
        <v>114.995</v>
      </c>
      <c r="H25" s="179">
        <v>114.76</v>
      </c>
      <c r="I25" s="180">
        <f t="shared" si="1"/>
        <v>0.23499999999999943</v>
      </c>
      <c r="J25" s="179">
        <v>116.47199999999999</v>
      </c>
      <c r="K25" s="177" t="d">
        <v>2021-11-23T09:21:59.99999990221113300</v>
      </c>
      <c r="L25" s="179">
        <v>114.836</v>
      </c>
      <c r="M25" s="181">
        <f t="shared" si="2"/>
        <v>-0.159</v>
      </c>
      <c r="N25" s="182">
        <f t="shared" si="3"/>
        <v>-0.68</v>
      </c>
      <c r="O25" s="183">
        <f t="shared" si="4"/>
        <v>0</v>
      </c>
      <c r="P25" s="184">
        <f t="shared" si="5"/>
        <v>0</v>
      </c>
      <c r="Q25" s="184">
        <f t="shared" si="6"/>
        <v>-0.68</v>
      </c>
      <c r="R25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5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30100</v>
      </c>
      <c r="T25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30270</v>
      </c>
      <c r="U25" s="186">
        <f ca="1">IF(Tabla33610673487[[#This Row],[Equity]]&lt;Tabla33610673487[[#This Row],[Equity Peak]],(Tabla33610673487[[#This Row],[Equity Peak]]-Tabla33610673487[[#This Row],[Equity]])/Tabla33610673487[[#This Row],[Equity Peak]],"")</f>
        <v>5.6161215725140405E-3</v>
      </c>
      <c r="V25" s="187">
        <f t="shared" si="7"/>
        <v>-0.68</v>
      </c>
      <c r="W25" s="187">
        <f t="shared" si="8"/>
        <v>0</v>
      </c>
      <c r="X25" s="187">
        <f t="shared" si="9"/>
        <v>0</v>
      </c>
      <c r="Y25" s="187">
        <f t="shared" si="10"/>
        <v>0</v>
      </c>
      <c r="Z25" s="187">
        <f t="shared" si="11"/>
        <v>0</v>
      </c>
      <c r="AA25" s="183">
        <f t="shared" si="12"/>
        <v>0</v>
      </c>
      <c r="AB25" s="187">
        <f t="shared" si="13"/>
        <v>0</v>
      </c>
      <c r="AC25" s="183">
        <f t="shared" si="14"/>
        <v>0</v>
      </c>
      <c r="AD25" s="188">
        <f t="shared" si="15"/>
        <v>0.21319444444088731</v>
      </c>
      <c r="AE25" s="188">
        <f t="shared" si="16"/>
        <v>0</v>
      </c>
      <c r="AF25" s="188">
        <f t="shared" si="17"/>
        <v>0.21319444444088731</v>
      </c>
      <c r="AG25" s="188">
        <f t="shared" si="18"/>
        <v>0</v>
      </c>
    </row>
    <row r="26" spans="1:35" ht="15" customHeight="1" x14ac:dyDescent="0.15">
      <c r="B26" s="174" t="s">
        <v>7</v>
      </c>
      <c r="C26" s="175" t="s">
        <v>15</v>
      </c>
      <c r="D26" s="176" t="str">
        <f t="shared" si="0"/>
        <v>C</v>
      </c>
      <c r="E26" s="177" t="d">
        <v>2021-11-16T16:15:00.00000020954757600</v>
      </c>
      <c r="F26" s="178" t="s">
        <v>103</v>
      </c>
      <c r="G26" s="179">
        <v>114.491</v>
      </c>
      <c r="H26" s="179">
        <v>114.307</v>
      </c>
      <c r="I26" s="180">
        <f t="shared" si="1"/>
        <v>0.1839999999999975</v>
      </c>
      <c r="J26" s="179">
        <v>115.648</v>
      </c>
      <c r="K26" s="177" t="d">
        <v>2021-11-17T03:27:59.99999981839210125</v>
      </c>
      <c r="L26" s="179">
        <v>114.7</v>
      </c>
      <c r="M26" s="181">
        <f t="shared" si="2"/>
        <v>0.20899999999999999</v>
      </c>
      <c r="N26" s="182">
        <f t="shared" si="3"/>
        <v>1.1399999999999999</v>
      </c>
      <c r="O26" s="183">
        <f t="shared" si="4"/>
        <v>0</v>
      </c>
      <c r="P26" s="184">
        <f t="shared" si="5"/>
        <v>1.1399999999999999</v>
      </c>
      <c r="Q26" s="184">
        <f t="shared" si="6"/>
        <v>0</v>
      </c>
      <c r="R26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6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30270</v>
      </c>
      <c r="T26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30270</v>
      </c>
      <c r="U26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26" s="187">
        <f t="shared" si="7"/>
        <v>1.1399999999999999</v>
      </c>
      <c r="W26" s="187">
        <f t="shared" si="8"/>
        <v>0</v>
      </c>
      <c r="X26" s="187">
        <f t="shared" si="9"/>
        <v>0</v>
      </c>
      <c r="Y26" s="187">
        <f t="shared" si="10"/>
        <v>0</v>
      </c>
      <c r="Z26" s="187">
        <f t="shared" si="11"/>
        <v>0</v>
      </c>
      <c r="AA26" s="183">
        <f t="shared" si="12"/>
        <v>0</v>
      </c>
      <c r="AB26" s="187">
        <f t="shared" si="13"/>
        <v>0</v>
      </c>
      <c r="AC26" s="183">
        <f t="shared" si="14"/>
        <v>0</v>
      </c>
      <c r="AD26" s="188">
        <f t="shared" si="15"/>
        <v>0.46736111110658385</v>
      </c>
      <c r="AE26" s="188">
        <f t="shared" si="16"/>
        <v>0.46736111110658385</v>
      </c>
      <c r="AF26" s="188">
        <f t="shared" si="17"/>
        <v>0</v>
      </c>
      <c r="AG26" s="188">
        <f t="shared" si="18"/>
        <v>0</v>
      </c>
    </row>
    <row r="27" spans="1:35" ht="15" customHeight="1" x14ac:dyDescent="0.15">
      <c r="B27" s="174" t="s">
        <v>7</v>
      </c>
      <c r="C27" s="175" t="s">
        <v>13</v>
      </c>
      <c r="D27" s="176" t="str">
        <f t="shared" si="0"/>
        <v>C</v>
      </c>
      <c r="E27" s="177" t="d">
        <v>2021-11-08T16:15:00.00000020954757600</v>
      </c>
      <c r="F27" s="178" t="s">
        <v>103</v>
      </c>
      <c r="G27" s="179">
        <v>113.22499999999999</v>
      </c>
      <c r="H27" s="179">
        <v>113.438</v>
      </c>
      <c r="I27" s="180">
        <f t="shared" si="1"/>
        <v>0.21300000000000807</v>
      </c>
      <c r="J27" s="179">
        <v>111.887</v>
      </c>
      <c r="K27" s="177" t="d">
        <v>2021-11-09T14:17:59.9999999580904875</v>
      </c>
      <c r="L27" s="179">
        <v>113.01300000000001</v>
      </c>
      <c r="M27" s="181">
        <f t="shared" si="2"/>
        <v>0.21199999999999999</v>
      </c>
      <c r="N27" s="182">
        <f t="shared" si="3"/>
        <v>1</v>
      </c>
      <c r="O27" s="183">
        <f t="shared" si="4"/>
        <v>0</v>
      </c>
      <c r="P27" s="184">
        <f t="shared" si="5"/>
        <v>1</v>
      </c>
      <c r="Q27" s="184">
        <f t="shared" si="6"/>
        <v>0</v>
      </c>
      <c r="R27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7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29985</v>
      </c>
      <c r="T27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29985</v>
      </c>
      <c r="U27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27" s="187">
        <f t="shared" si="7"/>
        <v>1</v>
      </c>
      <c r="W27" s="187">
        <f t="shared" si="8"/>
        <v>0</v>
      </c>
      <c r="X27" s="187">
        <f t="shared" si="9"/>
        <v>0</v>
      </c>
      <c r="Y27" s="187">
        <f t="shared" si="10"/>
        <v>0</v>
      </c>
      <c r="Z27" s="187">
        <f t="shared" si="11"/>
        <v>0</v>
      </c>
      <c r="AA27" s="183">
        <f t="shared" si="12"/>
        <v>0</v>
      </c>
      <c r="AB27" s="187">
        <f t="shared" si="13"/>
        <v>0</v>
      </c>
      <c r="AC27" s="183">
        <f t="shared" si="14"/>
        <v>0</v>
      </c>
      <c r="AD27" s="188">
        <f t="shared" si="15"/>
        <v>0.91874999999708962</v>
      </c>
      <c r="AE27" s="188">
        <f t="shared" si="16"/>
        <v>0.91874999999708962</v>
      </c>
      <c r="AF27" s="188">
        <f t="shared" si="17"/>
        <v>0</v>
      </c>
      <c r="AG27" s="188">
        <f t="shared" si="18"/>
        <v>0</v>
      </c>
    </row>
    <row r="28" spans="1:35" ht="15" customHeight="1" x14ac:dyDescent="0.15">
      <c r="B28" s="174" t="s">
        <v>7</v>
      </c>
      <c r="C28" s="175" t="s">
        <v>15</v>
      </c>
      <c r="D28" s="176" t="str">
        <f t="shared" si="0"/>
        <v>C</v>
      </c>
      <c r="E28" s="177" t="d">
        <v>2021-10-20T02:29:59.99999979045242400</v>
      </c>
      <c r="F28" s="178" t="s">
        <v>103</v>
      </c>
      <c r="G28" s="179">
        <v>114.517</v>
      </c>
      <c r="H28" s="179">
        <v>114.29600000000001</v>
      </c>
      <c r="I28" s="180">
        <f t="shared" si="1"/>
        <v>0.22099999999998943</v>
      </c>
      <c r="J28" s="179">
        <v>115.905</v>
      </c>
      <c r="K28" s="177" t="d">
        <v>2021-10-20T10:03:59.99999994412064550</v>
      </c>
      <c r="L28" s="179">
        <v>114.39</v>
      </c>
      <c r="M28" s="181">
        <f t="shared" si="2"/>
        <v>-0.127</v>
      </c>
      <c r="N28" s="182">
        <f t="shared" si="3"/>
        <v>-0.56999999999999995</v>
      </c>
      <c r="O28" s="183">
        <f t="shared" si="4"/>
        <v>0</v>
      </c>
      <c r="P28" s="184">
        <f t="shared" si="5"/>
        <v>0</v>
      </c>
      <c r="Q28" s="184">
        <f t="shared" si="6"/>
        <v>-0.56999999999999995</v>
      </c>
      <c r="R28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8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29735</v>
      </c>
      <c r="T28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29877.5</v>
      </c>
      <c r="U28" s="186">
        <f ca="1">IF(Tabla33610673487[[#This Row],[Equity]]&lt;Tabla33610673487[[#This Row],[Equity Peak]],(Tabla33610673487[[#This Row],[Equity Peak]]-Tabla33610673487[[#This Row],[Equity]])/Tabla33610673487[[#This Row],[Equity Peak]],"")</f>
        <v>4.7694753577106515E-3</v>
      </c>
      <c r="V28" s="187">
        <f t="shared" si="7"/>
        <v>-0.56999999999999995</v>
      </c>
      <c r="W28" s="187">
        <f t="shared" si="8"/>
        <v>0</v>
      </c>
      <c r="X28" s="187">
        <f t="shared" si="9"/>
        <v>0</v>
      </c>
      <c r="Y28" s="187">
        <f t="shared" si="10"/>
        <v>0</v>
      </c>
      <c r="Z28" s="187">
        <f t="shared" si="11"/>
        <v>0</v>
      </c>
      <c r="AA28" s="183">
        <f t="shared" si="12"/>
        <v>0</v>
      </c>
      <c r="AB28" s="187">
        <f t="shared" si="13"/>
        <v>0</v>
      </c>
      <c r="AC28" s="183">
        <f t="shared" si="14"/>
        <v>0</v>
      </c>
      <c r="AD28" s="188">
        <f t="shared" si="15"/>
        <v>0.31527777777955635</v>
      </c>
      <c r="AE28" s="188">
        <f t="shared" si="16"/>
        <v>0</v>
      </c>
      <c r="AF28" s="188">
        <f t="shared" si="17"/>
        <v>0.31527777777955635</v>
      </c>
      <c r="AG28" s="188">
        <f t="shared" si="18"/>
        <v>0</v>
      </c>
    </row>
    <row r="29" spans="1:35" ht="15" customHeight="1" x14ac:dyDescent="0.15">
      <c r="B29" s="174" t="s">
        <v>7</v>
      </c>
      <c r="C29" s="175" t="s">
        <v>15</v>
      </c>
      <c r="D29" s="176" t="str">
        <f t="shared" si="0"/>
        <v>C</v>
      </c>
      <c r="E29" s="177" t="d">
        <v>2021-10-15T02:45:00.00000020954757600</v>
      </c>
      <c r="F29" s="178" t="s">
        <v>103</v>
      </c>
      <c r="G29" s="179">
        <v>113.855</v>
      </c>
      <c r="H29" s="179">
        <v>113.631</v>
      </c>
      <c r="I29" s="180">
        <f t="shared" si="1"/>
        <v>0.22400000000000375</v>
      </c>
      <c r="J29" s="179">
        <v>115.264</v>
      </c>
      <c r="K29" s="177" t="d">
        <v>2021-10-15T17:39:00.00000029336660775</v>
      </c>
      <c r="L29" s="179">
        <v>114.15900000000001</v>
      </c>
      <c r="M29" s="181">
        <f t="shared" si="2"/>
        <v>0.30399999999999999</v>
      </c>
      <c r="N29" s="182">
        <f t="shared" si="3"/>
        <v>1.36</v>
      </c>
      <c r="O29" s="183">
        <f t="shared" si="4"/>
        <v>0</v>
      </c>
      <c r="P29" s="184">
        <f t="shared" si="5"/>
        <v>1.36</v>
      </c>
      <c r="Q29" s="184">
        <f t="shared" si="6"/>
        <v>0</v>
      </c>
      <c r="R29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9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29877.5</v>
      </c>
      <c r="T29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29877.5</v>
      </c>
      <c r="U29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29" s="187">
        <f t="shared" si="7"/>
        <v>1.36</v>
      </c>
      <c r="W29" s="187">
        <f t="shared" si="8"/>
        <v>0</v>
      </c>
      <c r="X29" s="187">
        <f t="shared" si="9"/>
        <v>0</v>
      </c>
      <c r="Y29" s="187">
        <f t="shared" si="10"/>
        <v>0</v>
      </c>
      <c r="Z29" s="187">
        <f t="shared" si="11"/>
        <v>0</v>
      </c>
      <c r="AA29" s="183">
        <f t="shared" si="12"/>
        <v>0</v>
      </c>
      <c r="AB29" s="187">
        <f t="shared" si="13"/>
        <v>0</v>
      </c>
      <c r="AC29" s="183">
        <f t="shared" si="14"/>
        <v>0</v>
      </c>
      <c r="AD29" s="188">
        <f t="shared" si="15"/>
        <v>0.62083333333430346</v>
      </c>
      <c r="AE29" s="188">
        <f t="shared" si="16"/>
        <v>0.62083333333430346</v>
      </c>
      <c r="AF29" s="188">
        <f t="shared" si="17"/>
        <v>0</v>
      </c>
      <c r="AG29" s="188">
        <f t="shared" si="18"/>
        <v>0</v>
      </c>
    </row>
    <row r="30" spans="1:35" ht="15" customHeight="1" x14ac:dyDescent="0.15">
      <c r="B30" s="174" t="s">
        <v>7</v>
      </c>
      <c r="C30" s="175" t="s">
        <v>15</v>
      </c>
      <c r="D30" s="176" t="str">
        <f t="shared" si="0"/>
        <v>C</v>
      </c>
      <c r="E30" s="177" t="d">
        <v>2021-10-12T15:30:00.00000020954757600</v>
      </c>
      <c r="F30" s="178" t="s">
        <v>103</v>
      </c>
      <c r="G30" s="179">
        <v>113.54900000000001</v>
      </c>
      <c r="H30" s="179">
        <v>113.346</v>
      </c>
      <c r="I30" s="180">
        <f t="shared" si="1"/>
        <v>0.20300000000000296</v>
      </c>
      <c r="J30" s="179">
        <v>114.827</v>
      </c>
      <c r="K30" s="177" t="d">
        <v>2021-10-12T16:09:00.00000029336660775</v>
      </c>
      <c r="L30" s="179">
        <v>113.509</v>
      </c>
      <c r="M30" s="181">
        <f t="shared" si="2"/>
        <v>-0.04</v>
      </c>
      <c r="N30" s="182">
        <f t="shared" si="3"/>
        <v>-0.2</v>
      </c>
      <c r="O30" s="183">
        <f t="shared" si="4"/>
        <v>0</v>
      </c>
      <c r="P30" s="184">
        <f t="shared" si="5"/>
        <v>0</v>
      </c>
      <c r="Q30" s="184">
        <f t="shared" si="6"/>
        <v>-0.2</v>
      </c>
      <c r="R30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0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29537.5</v>
      </c>
      <c r="T30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29587.5</v>
      </c>
      <c r="U30" s="186">
        <f ca="1">IF(Tabla33610673487[[#This Row],[Equity]]&lt;Tabla33610673487[[#This Row],[Equity Peak]],(Tabla33610673487[[#This Row],[Equity Peak]]-Tabla33610673487[[#This Row],[Equity]])/Tabla33610673487[[#This Row],[Equity Peak]],"")</f>
        <v>1.6899028305872412E-3</v>
      </c>
      <c r="V30" s="187">
        <f t="shared" si="7"/>
        <v>-0.2</v>
      </c>
      <c r="W30" s="187">
        <f t="shared" si="8"/>
        <v>0</v>
      </c>
      <c r="X30" s="187">
        <f t="shared" si="9"/>
        <v>0</v>
      </c>
      <c r="Y30" s="187">
        <f t="shared" si="10"/>
        <v>0</v>
      </c>
      <c r="Z30" s="187">
        <f t="shared" si="11"/>
        <v>0</v>
      </c>
      <c r="AA30" s="183">
        <f t="shared" si="12"/>
        <v>0</v>
      </c>
      <c r="AB30" s="187">
        <f t="shared" si="13"/>
        <v>0</v>
      </c>
      <c r="AC30" s="183">
        <f t="shared" si="14"/>
        <v>0</v>
      </c>
      <c r="AD30" s="188">
        <f t="shared" si="15"/>
        <v>2.7083333334303461E-2</v>
      </c>
      <c r="AE30" s="188">
        <f t="shared" si="16"/>
        <v>0</v>
      </c>
      <c r="AF30" s="188">
        <f t="shared" si="17"/>
        <v>2.7083333334303461E-2</v>
      </c>
      <c r="AG30" s="188">
        <f t="shared" si="18"/>
        <v>0</v>
      </c>
    </row>
    <row r="31" spans="1:35" ht="15" customHeight="1" x14ac:dyDescent="0.15">
      <c r="B31" s="174" t="s">
        <v>7</v>
      </c>
      <c r="C31" s="175" t="s">
        <v>15</v>
      </c>
      <c r="D31" s="176" t="str">
        <f t="shared" si="0"/>
        <v>C</v>
      </c>
      <c r="E31" s="177" t="d">
        <v>2021-10-08T18:30:00.00000020954757600</v>
      </c>
      <c r="F31" s="178" t="s">
        <v>103</v>
      </c>
      <c r="G31" s="179">
        <v>112.131</v>
      </c>
      <c r="H31" s="179">
        <v>111.94</v>
      </c>
      <c r="I31" s="180">
        <f t="shared" si="1"/>
        <v>0.1910000000000025</v>
      </c>
      <c r="J31" s="179">
        <v>113.333</v>
      </c>
      <c r="K31" s="177" t="d">
        <v>2021-10-11T17:54:00.00000008381903175</v>
      </c>
      <c r="L31" s="179">
        <v>113.333</v>
      </c>
      <c r="M31" s="181">
        <f t="shared" si="2"/>
        <v>1.202</v>
      </c>
      <c r="N31" s="182">
        <f t="shared" si="3"/>
        <v>6.29</v>
      </c>
      <c r="O31" s="183">
        <f t="shared" si="4"/>
        <v>0</v>
      </c>
      <c r="P31" s="184">
        <f t="shared" si="5"/>
        <v>6.29</v>
      </c>
      <c r="Q31" s="184">
        <f t="shared" si="6"/>
        <v>0</v>
      </c>
      <c r="R31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1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29587.5</v>
      </c>
      <c r="T31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29587.5</v>
      </c>
      <c r="U31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31" s="187">
        <f t="shared" si="7"/>
        <v>6.29</v>
      </c>
      <c r="W31" s="187">
        <f t="shared" si="8"/>
        <v>0</v>
      </c>
      <c r="X31" s="187">
        <f t="shared" si="9"/>
        <v>0</v>
      </c>
      <c r="Y31" s="187">
        <f t="shared" si="10"/>
        <v>0</v>
      </c>
      <c r="Z31" s="187">
        <f t="shared" si="11"/>
        <v>0</v>
      </c>
      <c r="AA31" s="183">
        <f t="shared" si="12"/>
        <v>0</v>
      </c>
      <c r="AB31" s="187">
        <f t="shared" si="13"/>
        <v>0</v>
      </c>
      <c r="AC31" s="183">
        <f t="shared" si="14"/>
        <v>0</v>
      </c>
      <c r="AD31" s="188">
        <f t="shared" si="15"/>
        <v>2.9749999999985448</v>
      </c>
      <c r="AE31" s="188">
        <f t="shared" si="16"/>
        <v>2.9749999999985448</v>
      </c>
      <c r="AF31" s="188">
        <f t="shared" si="17"/>
        <v>0</v>
      </c>
      <c r="AG31" s="188">
        <f t="shared" si="18"/>
        <v>0</v>
      </c>
    </row>
    <row r="32" spans="1:35" ht="15" customHeight="1" x14ac:dyDescent="0.15">
      <c r="B32" s="174" t="s">
        <v>7</v>
      </c>
      <c r="C32" s="175" t="s">
        <v>15</v>
      </c>
      <c r="D32" s="176" t="str">
        <f t="shared" si="0"/>
        <v>C</v>
      </c>
      <c r="E32" s="177" t="d">
        <v>2021-09-29T17:15:00.000</v>
      </c>
      <c r="F32" s="178" t="s">
        <v>103</v>
      </c>
      <c r="G32" s="179">
        <v>111.733</v>
      </c>
      <c r="H32" s="179">
        <v>111.54600000000001</v>
      </c>
      <c r="I32" s="180">
        <f t="shared" si="1"/>
        <v>0.18699999999999761</v>
      </c>
      <c r="J32" s="179">
        <v>112.90900000000001</v>
      </c>
      <c r="K32" s="177" t="d">
        <v>2021-09-30T16:24:00.00000008381903175</v>
      </c>
      <c r="L32" s="179">
        <v>111.807</v>
      </c>
      <c r="M32" s="181">
        <f t="shared" si="2"/>
        <v>7.3999999999999996E-2</v>
      </c>
      <c r="N32" s="182">
        <f t="shared" si="3"/>
        <v>0.4</v>
      </c>
      <c r="O32" s="183">
        <f t="shared" si="4"/>
        <v>0</v>
      </c>
      <c r="P32" s="184">
        <f t="shared" si="5"/>
        <v>0.4</v>
      </c>
      <c r="Q32" s="184">
        <f t="shared" si="6"/>
        <v>0</v>
      </c>
      <c r="R32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2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28015</v>
      </c>
      <c r="T32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28355</v>
      </c>
      <c r="U32" s="186">
        <f ca="1">IF(Tabla33610673487[[#This Row],[Equity]]&lt;Tabla33610673487[[#This Row],[Equity Peak]],(Tabla33610673487[[#This Row],[Equity Peak]]-Tabla33610673487[[#This Row],[Equity]])/Tabla33610673487[[#This Row],[Equity Peak]],"")</f>
        <v>1.1990830541350733E-2</v>
      </c>
      <c r="V32" s="187">
        <f t="shared" si="7"/>
        <v>0.4</v>
      </c>
      <c r="W32" s="187">
        <f t="shared" si="8"/>
        <v>0</v>
      </c>
      <c r="X32" s="187">
        <f t="shared" si="9"/>
        <v>0</v>
      </c>
      <c r="Y32" s="187">
        <f t="shared" si="10"/>
        <v>0</v>
      </c>
      <c r="Z32" s="187">
        <f t="shared" si="11"/>
        <v>0</v>
      </c>
      <c r="AA32" s="183">
        <f t="shared" si="12"/>
        <v>0</v>
      </c>
      <c r="AB32" s="187">
        <f t="shared" si="13"/>
        <v>0</v>
      </c>
      <c r="AC32" s="183">
        <f t="shared" si="14"/>
        <v>0</v>
      </c>
      <c r="AD32" s="188">
        <f t="shared" si="15"/>
        <v>0.96458333333430346</v>
      </c>
      <c r="AE32" s="188">
        <f t="shared" si="16"/>
        <v>0.96458333333430346</v>
      </c>
      <c r="AF32" s="188">
        <f t="shared" si="17"/>
        <v>0</v>
      </c>
      <c r="AG32" s="188">
        <f t="shared" si="18"/>
        <v>0</v>
      </c>
    </row>
    <row r="33" spans="2:33" ht="15" customHeight="1" x14ac:dyDescent="0.15">
      <c r="B33" s="174" t="s">
        <v>7</v>
      </c>
      <c r="C33" s="175" t="s">
        <v>15</v>
      </c>
      <c r="D33" s="176" t="str">
        <f t="shared" si="0"/>
        <v>C</v>
      </c>
      <c r="E33" s="177" t="d">
        <v>2021-09-28T04:30:00.000</v>
      </c>
      <c r="F33" s="178" t="s">
        <v>103</v>
      </c>
      <c r="G33" s="179">
        <v>111.105</v>
      </c>
      <c r="H33" s="179">
        <v>110.934</v>
      </c>
      <c r="I33" s="180">
        <f t="shared" si="1"/>
        <v>0.17100000000000648</v>
      </c>
      <c r="J33" s="179">
        <v>112.182</v>
      </c>
      <c r="K33" s="177" t="d">
        <v>2021-09-28T17:20:59.99999991618096825</v>
      </c>
      <c r="L33" s="179">
        <v>111.38</v>
      </c>
      <c r="M33" s="181">
        <f t="shared" si="2"/>
        <v>0.27500000000000002</v>
      </c>
      <c r="N33" s="182">
        <f t="shared" si="3"/>
        <v>1.61</v>
      </c>
      <c r="O33" s="183">
        <f t="shared" si="4"/>
        <v>0</v>
      </c>
      <c r="P33" s="184">
        <f t="shared" si="5"/>
        <v>1.61</v>
      </c>
      <c r="Q33" s="184">
        <f t="shared" si="6"/>
        <v>0</v>
      </c>
      <c r="R33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3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27915</v>
      </c>
      <c r="T33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28355</v>
      </c>
      <c r="U33" s="186">
        <f ca="1">IF(Tabla33610673487[[#This Row],[Equity]]&lt;Tabla33610673487[[#This Row],[Equity Peak]],(Tabla33610673487[[#This Row],[Equity Peak]]-Tabla33610673487[[#This Row],[Equity]])/Tabla33610673487[[#This Row],[Equity Peak]],"")</f>
        <v>1.5517545406453889E-2</v>
      </c>
      <c r="V33" s="187">
        <f t="shared" si="7"/>
        <v>1.61</v>
      </c>
      <c r="W33" s="187">
        <f t="shared" si="8"/>
        <v>0</v>
      </c>
      <c r="X33" s="187">
        <f t="shared" si="9"/>
        <v>0</v>
      </c>
      <c r="Y33" s="187">
        <f t="shared" si="10"/>
        <v>0</v>
      </c>
      <c r="Z33" s="187">
        <f t="shared" si="11"/>
        <v>0</v>
      </c>
      <c r="AA33" s="183">
        <f t="shared" si="12"/>
        <v>0</v>
      </c>
      <c r="AB33" s="187">
        <f t="shared" si="13"/>
        <v>0</v>
      </c>
      <c r="AC33" s="183">
        <f t="shared" si="14"/>
        <v>0</v>
      </c>
      <c r="AD33" s="188">
        <f t="shared" si="15"/>
        <v>0.53541666666569654</v>
      </c>
      <c r="AE33" s="188">
        <f t="shared" si="16"/>
        <v>0.53541666666569654</v>
      </c>
      <c r="AF33" s="188">
        <f t="shared" si="17"/>
        <v>0</v>
      </c>
      <c r="AG33" s="188">
        <f t="shared" si="18"/>
        <v>0</v>
      </c>
    </row>
    <row r="34" spans="2:33" ht="15" customHeight="1" x14ac:dyDescent="0.15">
      <c r="B34" s="174" t="s">
        <v>7</v>
      </c>
      <c r="C34" s="175" t="s">
        <v>15</v>
      </c>
      <c r="D34" s="176" t="str">
        <f t="shared" si="0"/>
        <v>C</v>
      </c>
      <c r="E34" s="177" t="d">
        <v>2021-09-27T11:29:59.99999979045242400</v>
      </c>
      <c r="F34" s="178" t="s">
        <v>103</v>
      </c>
      <c r="G34" s="179">
        <v>110.875</v>
      </c>
      <c r="H34" s="179">
        <v>110.709</v>
      </c>
      <c r="I34" s="180">
        <f t="shared" si="1"/>
        <v>0.16599999999999682</v>
      </c>
      <c r="J34" s="179">
        <v>111.91800000000001</v>
      </c>
      <c r="K34" s="177" t="d">
        <v>2021-09-27T15:47:59.9999999580904875</v>
      </c>
      <c r="L34" s="179">
        <v>110.81399999999999</v>
      </c>
      <c r="M34" s="181">
        <f t="shared" si="2"/>
        <v>-6.0999999999999999E-2</v>
      </c>
      <c r="N34" s="182">
        <f t="shared" si="3"/>
        <v>-0.37</v>
      </c>
      <c r="O34" s="183">
        <f t="shared" si="4"/>
        <v>0</v>
      </c>
      <c r="P34" s="184">
        <f t="shared" si="5"/>
        <v>0</v>
      </c>
      <c r="Q34" s="184">
        <f t="shared" si="6"/>
        <v>-0.37</v>
      </c>
      <c r="R34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4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27512.5</v>
      </c>
      <c r="T34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28355</v>
      </c>
      <c r="U34" s="186">
        <f ca="1">IF(Tabla33610673487[[#This Row],[Equity]]&lt;Tabla33610673487[[#This Row],[Equity Peak]],(Tabla33610673487[[#This Row],[Equity Peak]]-Tabla33610673487[[#This Row],[Equity]])/Tabla33610673487[[#This Row],[Equity Peak]],"")</f>
        <v>2.9712572738494092E-2</v>
      </c>
      <c r="V34" s="187">
        <f t="shared" si="7"/>
        <v>-0.37</v>
      </c>
      <c r="W34" s="187">
        <f t="shared" si="8"/>
        <v>0</v>
      </c>
      <c r="X34" s="187">
        <f t="shared" si="9"/>
        <v>0</v>
      </c>
      <c r="Y34" s="187">
        <f t="shared" si="10"/>
        <v>0</v>
      </c>
      <c r="Z34" s="187">
        <f t="shared" si="11"/>
        <v>0</v>
      </c>
      <c r="AA34" s="183">
        <f t="shared" si="12"/>
        <v>0</v>
      </c>
      <c r="AB34" s="187">
        <f t="shared" si="13"/>
        <v>0</v>
      </c>
      <c r="AC34" s="183">
        <f t="shared" si="14"/>
        <v>0</v>
      </c>
      <c r="AD34" s="188">
        <f t="shared" si="15"/>
        <v>0.17916666666860692</v>
      </c>
      <c r="AE34" s="188">
        <f t="shared" si="16"/>
        <v>0</v>
      </c>
      <c r="AF34" s="188">
        <f t="shared" si="17"/>
        <v>0.17916666666860692</v>
      </c>
      <c r="AG34" s="188">
        <f t="shared" si="18"/>
        <v>0</v>
      </c>
    </row>
    <row r="35" spans="2:33" ht="15" customHeight="1" x14ac:dyDescent="0.15">
      <c r="B35" s="174" t="s">
        <v>7</v>
      </c>
      <c r="C35" s="175" t="s">
        <v>15</v>
      </c>
      <c r="D35" s="176" t="str">
        <f t="shared" si="0"/>
        <v>C</v>
      </c>
      <c r="E35" s="177" t="d">
        <v>2021-09-24T16:15:00.00000020954757600</v>
      </c>
      <c r="F35" s="178" t="s">
        <v>103</v>
      </c>
      <c r="G35" s="179">
        <v>110.59099999999999</v>
      </c>
      <c r="H35" s="179">
        <v>110.423</v>
      </c>
      <c r="I35" s="180">
        <f t="shared" si="1"/>
        <v>0.16799999999999216</v>
      </c>
      <c r="J35" s="179">
        <v>111.64700000000001</v>
      </c>
      <c r="K35" s="177" t="d">
        <v>2021-09-27T00:04:00.00000015366822150</v>
      </c>
      <c r="L35" s="179">
        <v>110.575</v>
      </c>
      <c r="M35" s="181">
        <f t="shared" si="2"/>
        <v>-1.6E-2</v>
      </c>
      <c r="N35" s="182">
        <f t="shared" si="3"/>
        <v>-0.1</v>
      </c>
      <c r="O35" s="183">
        <f t="shared" si="4"/>
        <v>0</v>
      </c>
      <c r="P35" s="184">
        <f t="shared" si="5"/>
        <v>0</v>
      </c>
      <c r="Q35" s="184">
        <f t="shared" si="6"/>
        <v>-0.1</v>
      </c>
      <c r="R35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5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27605</v>
      </c>
      <c r="T35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28355</v>
      </c>
      <c r="U35" s="186">
        <f ca="1">IF(Tabla33610673487[[#This Row],[Equity]]&lt;Tabla33610673487[[#This Row],[Equity Peak]],(Tabla33610673487[[#This Row],[Equity Peak]]-Tabla33610673487[[#This Row],[Equity]])/Tabla33610673487[[#This Row],[Equity Peak]],"")</f>
        <v>2.6450361488273674E-2</v>
      </c>
      <c r="V35" s="187">
        <f t="shared" si="7"/>
        <v>-0.1</v>
      </c>
      <c r="W35" s="187">
        <f t="shared" si="8"/>
        <v>0</v>
      </c>
      <c r="X35" s="187">
        <f t="shared" si="9"/>
        <v>0</v>
      </c>
      <c r="Y35" s="187">
        <f t="shared" si="10"/>
        <v>0</v>
      </c>
      <c r="Z35" s="187">
        <f t="shared" si="11"/>
        <v>0</v>
      </c>
      <c r="AA35" s="183">
        <f t="shared" si="12"/>
        <v>0</v>
      </c>
      <c r="AB35" s="187">
        <f t="shared" si="13"/>
        <v>0</v>
      </c>
      <c r="AC35" s="183">
        <f t="shared" si="14"/>
        <v>0</v>
      </c>
      <c r="AD35" s="188">
        <f t="shared" si="15"/>
        <v>2.3256944444437977</v>
      </c>
      <c r="AE35" s="188">
        <f t="shared" si="16"/>
        <v>0</v>
      </c>
      <c r="AF35" s="188">
        <f t="shared" si="17"/>
        <v>2.3256944444437977</v>
      </c>
      <c r="AG35" s="188">
        <f t="shared" si="18"/>
        <v>0</v>
      </c>
    </row>
    <row r="36" spans="2:33" ht="15" customHeight="1" x14ac:dyDescent="0.15">
      <c r="B36" s="174" t="s">
        <v>7</v>
      </c>
      <c r="C36" s="175" t="s">
        <v>15</v>
      </c>
      <c r="D36" s="176" t="str">
        <f t="shared" si="0"/>
        <v>C</v>
      </c>
      <c r="E36" s="177" t="d">
        <v>2021-09-24T08:45:00.00000020954757600</v>
      </c>
      <c r="F36" s="178" t="s">
        <v>103</v>
      </c>
      <c r="G36" s="179">
        <v>110.462</v>
      </c>
      <c r="H36" s="179">
        <v>110.298</v>
      </c>
      <c r="I36" s="180">
        <f t="shared" si="1"/>
        <v>0.16400000000000148</v>
      </c>
      <c r="J36" s="179">
        <v>111.492</v>
      </c>
      <c r="K36" s="177" t="d">
        <v>2021-09-24T11:09:00.00000008381903175</v>
      </c>
      <c r="L36" s="179">
        <v>110.35599999999999</v>
      </c>
      <c r="M36" s="181">
        <f t="shared" si="2"/>
        <v>-0.106</v>
      </c>
      <c r="N36" s="182">
        <f t="shared" si="3"/>
        <v>-0.65</v>
      </c>
      <c r="O36" s="183">
        <f t="shared" si="4"/>
        <v>0</v>
      </c>
      <c r="P36" s="184">
        <f t="shared" si="5"/>
        <v>0</v>
      </c>
      <c r="Q36" s="184">
        <f t="shared" si="6"/>
        <v>-0.65</v>
      </c>
      <c r="R36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6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27630</v>
      </c>
      <c r="T36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28355</v>
      </c>
      <c r="U36" s="186">
        <f ca="1">IF(Tabla33610673487[[#This Row],[Equity]]&lt;Tabla33610673487[[#This Row],[Equity Peak]],(Tabla33610673487[[#This Row],[Equity Peak]]-Tabla33610673487[[#This Row],[Equity]])/Tabla33610673487[[#This Row],[Equity Peak]],"")</f>
        <v>2.5568682771997885E-2</v>
      </c>
      <c r="V36" s="187">
        <f t="shared" si="7"/>
        <v>-0.65</v>
      </c>
      <c r="W36" s="187">
        <f t="shared" si="8"/>
        <v>0</v>
      </c>
      <c r="X36" s="187">
        <f t="shared" si="9"/>
        <v>0</v>
      </c>
      <c r="Y36" s="187">
        <f t="shared" si="10"/>
        <v>0</v>
      </c>
      <c r="Z36" s="187">
        <f t="shared" si="11"/>
        <v>0</v>
      </c>
      <c r="AA36" s="183">
        <f t="shared" si="12"/>
        <v>0</v>
      </c>
      <c r="AB36" s="187">
        <f t="shared" si="13"/>
        <v>0</v>
      </c>
      <c r="AC36" s="183">
        <f t="shared" si="14"/>
        <v>0</v>
      </c>
      <c r="AD36" s="188">
        <f t="shared" si="15"/>
        <v>9.9999999998544808E-2</v>
      </c>
      <c r="AE36" s="188">
        <f t="shared" si="16"/>
        <v>0</v>
      </c>
      <c r="AF36" s="188">
        <f t="shared" si="17"/>
        <v>9.9999999998544808E-2</v>
      </c>
      <c r="AG36" s="188">
        <f t="shared" si="18"/>
        <v>0</v>
      </c>
    </row>
    <row r="37" spans="2:33" ht="15" customHeight="1" x14ac:dyDescent="0.15">
      <c r="B37" s="174" t="s">
        <v>7</v>
      </c>
      <c r="C37" s="175" t="s">
        <v>13</v>
      </c>
      <c r="D37" s="176" t="str">
        <f t="shared" si="0"/>
        <v>C</v>
      </c>
      <c r="E37" s="177" t="d">
        <v>2021-09-15T09:14:59.99999979045242400</v>
      </c>
      <c r="F37" s="178" t="s">
        <v>103</v>
      </c>
      <c r="G37" s="179">
        <v>109.506</v>
      </c>
      <c r="H37" s="179">
        <v>109.64100000000001</v>
      </c>
      <c r="I37" s="180">
        <f t="shared" si="1"/>
        <v>0.13500000000000512</v>
      </c>
      <c r="J37" s="179">
        <v>108.658</v>
      </c>
      <c r="K37" s="177" t="d">
        <v>2021-09-15T15:36:59.99999969266355025</v>
      </c>
      <c r="L37" s="179">
        <v>109.295</v>
      </c>
      <c r="M37" s="181">
        <f t="shared" si="2"/>
        <v>0.21099999999999999</v>
      </c>
      <c r="N37" s="182">
        <f t="shared" si="3"/>
        <v>1.56</v>
      </c>
      <c r="O37" s="183">
        <f t="shared" si="4"/>
        <v>0</v>
      </c>
      <c r="P37" s="184">
        <f t="shared" si="5"/>
        <v>1.56</v>
      </c>
      <c r="Q37" s="184">
        <f t="shared" si="6"/>
        <v>0</v>
      </c>
      <c r="R37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7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27792.5</v>
      </c>
      <c r="T37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28355</v>
      </c>
      <c r="U37" s="186">
        <f ca="1">IF(Tabla33610673487[[#This Row],[Equity]]&lt;Tabla33610673487[[#This Row],[Equity Peak]],(Tabla33610673487[[#This Row],[Equity Peak]]-Tabla33610673487[[#This Row],[Equity]])/Tabla33610673487[[#This Row],[Equity Peak]],"")</f>
        <v>1.9837771116205254E-2</v>
      </c>
      <c r="V37" s="187">
        <f t="shared" si="7"/>
        <v>1.56</v>
      </c>
      <c r="W37" s="187">
        <f t="shared" si="8"/>
        <v>0</v>
      </c>
      <c r="X37" s="187">
        <f t="shared" si="9"/>
        <v>0</v>
      </c>
      <c r="Y37" s="187">
        <f t="shared" si="10"/>
        <v>0</v>
      </c>
      <c r="Z37" s="187">
        <f t="shared" si="11"/>
        <v>0</v>
      </c>
      <c r="AA37" s="183">
        <f t="shared" si="12"/>
        <v>0</v>
      </c>
      <c r="AB37" s="187">
        <f t="shared" si="13"/>
        <v>0</v>
      </c>
      <c r="AC37" s="183">
        <f t="shared" si="14"/>
        <v>0</v>
      </c>
      <c r="AD37" s="188">
        <f t="shared" si="15"/>
        <v>0.26527777777664596</v>
      </c>
      <c r="AE37" s="188">
        <f t="shared" si="16"/>
        <v>0.26527777777664596</v>
      </c>
      <c r="AF37" s="188">
        <f t="shared" si="17"/>
        <v>0</v>
      </c>
      <c r="AG37" s="188">
        <f t="shared" si="18"/>
        <v>0</v>
      </c>
    </row>
    <row r="38" spans="2:33" ht="15" customHeight="1" x14ac:dyDescent="0.15">
      <c r="B38" s="174" t="s">
        <v>7</v>
      </c>
      <c r="C38" s="175" t="s">
        <v>13</v>
      </c>
      <c r="D38" s="176" t="str">
        <f t="shared" si="0"/>
        <v>C</v>
      </c>
      <c r="E38" s="177" t="d">
        <v>2021-09-14T20:29:59.99999979045242400</v>
      </c>
      <c r="F38" s="178" t="s">
        <v>103</v>
      </c>
      <c r="G38" s="179">
        <v>109.533</v>
      </c>
      <c r="H38" s="179">
        <v>109.67400000000001</v>
      </c>
      <c r="I38" s="180">
        <f t="shared" si="1"/>
        <v>0.14100000000000534</v>
      </c>
      <c r="J38" s="179">
        <v>108.646</v>
      </c>
      <c r="K38" s="177" t="d">
        <v>2021-09-14T23:03:00.00000016763806350</v>
      </c>
      <c r="L38" s="179">
        <v>109.67400000000001</v>
      </c>
      <c r="M38" s="181">
        <f t="shared" si="2"/>
        <v>-0.14099999999999999</v>
      </c>
      <c r="N38" s="182">
        <f t="shared" si="3"/>
        <v>-1</v>
      </c>
      <c r="O38" s="183">
        <f t="shared" si="4"/>
        <v>0</v>
      </c>
      <c r="P38" s="184">
        <f t="shared" si="5"/>
        <v>0</v>
      </c>
      <c r="Q38" s="184">
        <f t="shared" si="6"/>
        <v>-1</v>
      </c>
      <c r="R38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8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27402.5</v>
      </c>
      <c r="T38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28355</v>
      </c>
      <c r="U38" s="186">
        <f ca="1">IF(Tabla33610673487[[#This Row],[Equity]]&lt;Tabla33610673487[[#This Row],[Equity Peak]],(Tabla33610673487[[#This Row],[Equity Peak]]-Tabla33610673487[[#This Row],[Equity]])/Tabla33610673487[[#This Row],[Equity Peak]],"")</f>
        <v>3.3591959090107565E-2</v>
      </c>
      <c r="V38" s="187">
        <f t="shared" si="7"/>
        <v>-1</v>
      </c>
      <c r="W38" s="187">
        <f t="shared" si="8"/>
        <v>0</v>
      </c>
      <c r="X38" s="187">
        <f t="shared" si="9"/>
        <v>0</v>
      </c>
      <c r="Y38" s="187">
        <f t="shared" si="10"/>
        <v>0</v>
      </c>
      <c r="Z38" s="187">
        <f t="shared" si="11"/>
        <v>0</v>
      </c>
      <c r="AA38" s="183">
        <f t="shared" si="12"/>
        <v>0</v>
      </c>
      <c r="AB38" s="187">
        <f t="shared" si="13"/>
        <v>0</v>
      </c>
      <c r="AC38" s="183">
        <f t="shared" si="14"/>
        <v>0</v>
      </c>
      <c r="AD38" s="188">
        <f t="shared" si="15"/>
        <v>0.10625000000436557</v>
      </c>
      <c r="AE38" s="188">
        <f t="shared" si="16"/>
        <v>0</v>
      </c>
      <c r="AF38" s="188">
        <f t="shared" si="17"/>
        <v>0.10625000000436557</v>
      </c>
      <c r="AG38" s="188">
        <f t="shared" si="18"/>
        <v>0</v>
      </c>
    </row>
    <row r="39" spans="2:33" ht="15" customHeight="1" x14ac:dyDescent="0.15">
      <c r="B39" s="174" t="s">
        <v>7</v>
      </c>
      <c r="C39" s="175" t="s">
        <v>15</v>
      </c>
      <c r="D39" s="176" t="str">
        <f t="shared" si="0"/>
        <v>C</v>
      </c>
      <c r="E39" s="177" t="d">
        <v>2021-09-08T09:14:59.99999979045242400</v>
      </c>
      <c r="F39" s="178" t="s">
        <v>103</v>
      </c>
      <c r="G39" s="179">
        <v>110.435</v>
      </c>
      <c r="H39" s="179">
        <v>110.30800000000001</v>
      </c>
      <c r="I39" s="180">
        <f t="shared" si="1"/>
        <v>0.12699999999999534</v>
      </c>
      <c r="J39" s="179">
        <v>111.235</v>
      </c>
      <c r="K39" s="177" t="d">
        <v>2021-09-08T10:06:59.99999990221113300</v>
      </c>
      <c r="L39" s="179">
        <v>110.30800000000001</v>
      </c>
      <c r="M39" s="181">
        <f t="shared" si="2"/>
        <v>-0.127</v>
      </c>
      <c r="N39" s="182">
        <f t="shared" si="3"/>
        <v>-1</v>
      </c>
      <c r="O39" s="183">
        <f t="shared" si="4"/>
        <v>0</v>
      </c>
      <c r="P39" s="184">
        <f t="shared" si="5"/>
        <v>0</v>
      </c>
      <c r="Q39" s="184">
        <f t="shared" si="6"/>
        <v>-1</v>
      </c>
      <c r="R39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9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27652.5</v>
      </c>
      <c r="T39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28355</v>
      </c>
      <c r="U39" s="186">
        <f ca="1">IF(Tabla33610673487[[#This Row],[Equity]]&lt;Tabla33610673487[[#This Row],[Equity Peak]],(Tabla33610673487[[#This Row],[Equity Peak]]-Tabla33610673487[[#This Row],[Equity]])/Tabla33610673487[[#This Row],[Equity Peak]],"")</f>
        <v>2.4775171927349675E-2</v>
      </c>
      <c r="V39" s="187">
        <f t="shared" si="7"/>
        <v>-1</v>
      </c>
      <c r="W39" s="187">
        <f t="shared" si="8"/>
        <v>0</v>
      </c>
      <c r="X39" s="187">
        <f t="shared" si="9"/>
        <v>0</v>
      </c>
      <c r="Y39" s="187">
        <f t="shared" si="10"/>
        <v>0</v>
      </c>
      <c r="Z39" s="187">
        <f t="shared" si="11"/>
        <v>0</v>
      </c>
      <c r="AA39" s="183">
        <f t="shared" si="12"/>
        <v>0</v>
      </c>
      <c r="AB39" s="187">
        <f t="shared" si="13"/>
        <v>0</v>
      </c>
      <c r="AC39" s="183">
        <f t="shared" si="14"/>
        <v>0</v>
      </c>
      <c r="AD39" s="188">
        <f t="shared" si="15"/>
        <v>3.6111111112404615E-2</v>
      </c>
      <c r="AE39" s="188">
        <f t="shared" si="16"/>
        <v>0</v>
      </c>
      <c r="AF39" s="188">
        <f t="shared" si="17"/>
        <v>3.6111111112404615E-2</v>
      </c>
      <c r="AG39" s="188">
        <f t="shared" si="18"/>
        <v>0</v>
      </c>
    </row>
    <row r="40" spans="2:33" ht="15" customHeight="1" x14ac:dyDescent="0.15">
      <c r="B40" s="174" t="s">
        <v>7</v>
      </c>
      <c r="C40" s="175" t="s">
        <v>15</v>
      </c>
      <c r="D40" s="176" t="str">
        <f t="shared" si="0"/>
        <v>C</v>
      </c>
      <c r="E40" s="177" t="d">
        <v>2021-09-01T10:15:00.00000020954757600</v>
      </c>
      <c r="F40" s="178" t="s">
        <v>103</v>
      </c>
      <c r="G40" s="179">
        <v>110.288</v>
      </c>
      <c r="H40" s="179">
        <v>110.137</v>
      </c>
      <c r="I40" s="180">
        <f t="shared" si="1"/>
        <v>0.15099999999999625</v>
      </c>
      <c r="J40" s="179">
        <v>111.236</v>
      </c>
      <c r="K40" s="177" t="d">
        <v>2021-09-01T15:24:00.00000029336660775</v>
      </c>
      <c r="L40" s="179">
        <v>110.206</v>
      </c>
      <c r="M40" s="181">
        <f t="shared" si="2"/>
        <v>-8.2000000000000003E-2</v>
      </c>
      <c r="N40" s="182">
        <f t="shared" si="3"/>
        <v>-0.54</v>
      </c>
      <c r="O40" s="183">
        <f t="shared" si="4"/>
        <v>0</v>
      </c>
      <c r="P40" s="184">
        <f t="shared" si="5"/>
        <v>0</v>
      </c>
      <c r="Q40" s="184">
        <f t="shared" si="6"/>
        <v>-0.54</v>
      </c>
      <c r="R40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0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27902.5</v>
      </c>
      <c r="T40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28355</v>
      </c>
      <c r="U40" s="186">
        <f ca="1">IF(Tabla33610673487[[#This Row],[Equity]]&lt;Tabla33610673487[[#This Row],[Equity Peak]],(Tabla33610673487[[#This Row],[Equity Peak]]-Tabla33610673487[[#This Row],[Equity]])/Tabla33610673487[[#This Row],[Equity Peak]],"")</f>
        <v>1.5958384764591781E-2</v>
      </c>
      <c r="V40" s="187">
        <f t="shared" si="7"/>
        <v>-0.54</v>
      </c>
      <c r="W40" s="187">
        <f t="shared" si="8"/>
        <v>0</v>
      </c>
      <c r="X40" s="187">
        <f t="shared" si="9"/>
        <v>0</v>
      </c>
      <c r="Y40" s="187">
        <f t="shared" si="10"/>
        <v>0</v>
      </c>
      <c r="Z40" s="187">
        <f t="shared" si="11"/>
        <v>0</v>
      </c>
      <c r="AA40" s="183">
        <f t="shared" si="12"/>
        <v>0</v>
      </c>
      <c r="AB40" s="187">
        <f t="shared" si="13"/>
        <v>0</v>
      </c>
      <c r="AC40" s="183">
        <f t="shared" si="14"/>
        <v>0</v>
      </c>
      <c r="AD40" s="188">
        <f t="shared" si="15"/>
        <v>0.21458333333430346</v>
      </c>
      <c r="AE40" s="188">
        <f t="shared" si="16"/>
        <v>0</v>
      </c>
      <c r="AF40" s="188">
        <f t="shared" si="17"/>
        <v>0.21458333333430346</v>
      </c>
      <c r="AG40" s="188">
        <f t="shared" si="18"/>
        <v>0</v>
      </c>
    </row>
    <row r="41" spans="2:33" ht="15" customHeight="1" x14ac:dyDescent="0.15">
      <c r="B41" s="174" t="s">
        <v>7</v>
      </c>
      <c r="C41" s="175" t="s">
        <v>15</v>
      </c>
      <c r="D41" s="176" t="str">
        <f t="shared" si="0"/>
        <v>C</v>
      </c>
      <c r="E41" s="177" t="d">
        <v>2021-08-11T03:14:59.99999979045242400</v>
      </c>
      <c r="F41" s="178" t="s">
        <v>103</v>
      </c>
      <c r="G41" s="179">
        <v>110.63200000000001</v>
      </c>
      <c r="H41" s="179">
        <v>110.47799999999999</v>
      </c>
      <c r="I41" s="180">
        <f t="shared" si="1"/>
        <v>0.15400000000001057</v>
      </c>
      <c r="J41" s="179">
        <v>111.6</v>
      </c>
      <c r="K41" s="177" t="d">
        <v>2021-08-11T15:30:00.00000020954757600</v>
      </c>
      <c r="L41" s="179">
        <v>110.621</v>
      </c>
      <c r="M41" s="181">
        <f t="shared" si="2"/>
        <v>-1.0999999999999999E-2</v>
      </c>
      <c r="N41" s="182">
        <f t="shared" si="3"/>
        <v>-7.0000000000000007E-2</v>
      </c>
      <c r="O41" s="183">
        <f t="shared" si="4"/>
        <v>0</v>
      </c>
      <c r="P41" s="184">
        <f t="shared" si="5"/>
        <v>0</v>
      </c>
      <c r="Q41" s="184">
        <f t="shared" si="6"/>
        <v>-7.0000000000000007E-2</v>
      </c>
      <c r="R41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1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28037.5</v>
      </c>
      <c r="T41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28355</v>
      </c>
      <c r="U41" s="186">
        <f ca="1">IF(Tabla33610673487[[#This Row],[Equity]]&lt;Tabla33610673487[[#This Row],[Equity Peak]],(Tabla33610673487[[#This Row],[Equity Peak]]-Tabla33610673487[[#This Row],[Equity]])/Tabla33610673487[[#This Row],[Equity Peak]],"")</f>
        <v>1.1197319696702521E-2</v>
      </c>
      <c r="V41" s="187">
        <f t="shared" si="7"/>
        <v>-7.0000000000000007E-2</v>
      </c>
      <c r="W41" s="187">
        <f t="shared" si="8"/>
        <v>0</v>
      </c>
      <c r="X41" s="187">
        <f t="shared" si="9"/>
        <v>0</v>
      </c>
      <c r="Y41" s="187">
        <f t="shared" si="10"/>
        <v>0</v>
      </c>
      <c r="Z41" s="187">
        <f t="shared" si="11"/>
        <v>0</v>
      </c>
      <c r="AA41" s="183">
        <f t="shared" si="12"/>
        <v>0</v>
      </c>
      <c r="AB41" s="187">
        <f t="shared" si="13"/>
        <v>0</v>
      </c>
      <c r="AC41" s="183">
        <f t="shared" si="14"/>
        <v>0</v>
      </c>
      <c r="AD41" s="188">
        <f t="shared" si="15"/>
        <v>0.51041666667151731</v>
      </c>
      <c r="AE41" s="188">
        <f t="shared" si="16"/>
        <v>0</v>
      </c>
      <c r="AF41" s="188">
        <f t="shared" si="17"/>
        <v>0.51041666667151731</v>
      </c>
      <c r="AG41" s="188">
        <f t="shared" si="18"/>
        <v>0</v>
      </c>
    </row>
    <row r="42" spans="2:33" ht="15" customHeight="1" x14ac:dyDescent="0.15">
      <c r="B42" s="174" t="s">
        <v>7</v>
      </c>
      <c r="C42" s="175" t="s">
        <v>13</v>
      </c>
      <c r="D42" s="176" t="str">
        <f t="shared" si="0"/>
        <v>C</v>
      </c>
      <c r="E42" s="177" t="d">
        <v>2021-08-04T15:30:00.00000020954757600</v>
      </c>
      <c r="F42" s="178" t="s">
        <v>103</v>
      </c>
      <c r="G42" s="179">
        <v>108.863</v>
      </c>
      <c r="H42" s="179">
        <v>109.026</v>
      </c>
      <c r="I42" s="180">
        <f t="shared" si="1"/>
        <v>0.1629999999999967</v>
      </c>
      <c r="J42" s="179">
        <v>107.84</v>
      </c>
      <c r="K42" s="177" t="d">
        <v>2021-08-04T17:03:59.999999734573066125</v>
      </c>
      <c r="L42" s="179">
        <v>108.97799999999999</v>
      </c>
      <c r="M42" s="181">
        <f t="shared" si="2"/>
        <v>-0.115</v>
      </c>
      <c r="N42" s="182">
        <f t="shared" si="3"/>
        <v>-0.71</v>
      </c>
      <c r="O42" s="183">
        <f t="shared" si="4"/>
        <v>0</v>
      </c>
      <c r="P42" s="184">
        <f t="shared" si="5"/>
        <v>0</v>
      </c>
      <c r="Q42" s="184">
        <f t="shared" si="6"/>
        <v>-0.71</v>
      </c>
      <c r="R42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2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28055</v>
      </c>
      <c r="T42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28355</v>
      </c>
      <c r="U42" s="186">
        <f ca="1">IF(Tabla33610673487[[#This Row],[Equity]]&lt;Tabla33610673487[[#This Row],[Equity Peak]],(Tabla33610673487[[#This Row],[Equity Peak]]-Tabla33610673487[[#This Row],[Equity]])/Tabla33610673487[[#This Row],[Equity Peak]],"")</f>
        <v>1.058014459530947E-2</v>
      </c>
      <c r="V42" s="187">
        <f t="shared" si="7"/>
        <v>-0.71</v>
      </c>
      <c r="W42" s="187">
        <f t="shared" si="8"/>
        <v>0</v>
      </c>
      <c r="X42" s="187">
        <f t="shared" si="9"/>
        <v>0</v>
      </c>
      <c r="Y42" s="187">
        <f t="shared" si="10"/>
        <v>0</v>
      </c>
      <c r="Z42" s="187">
        <f t="shared" si="11"/>
        <v>0</v>
      </c>
      <c r="AA42" s="183">
        <f t="shared" si="12"/>
        <v>0</v>
      </c>
      <c r="AB42" s="187">
        <f t="shared" si="13"/>
        <v>0</v>
      </c>
      <c r="AC42" s="183">
        <f t="shared" si="14"/>
        <v>0</v>
      </c>
      <c r="AD42" s="188">
        <f t="shared" si="15"/>
        <v>6.5277777772280388E-2</v>
      </c>
      <c r="AE42" s="188">
        <f t="shared" si="16"/>
        <v>0</v>
      </c>
      <c r="AF42" s="188">
        <f t="shared" si="17"/>
        <v>6.5277777772280388E-2</v>
      </c>
      <c r="AG42" s="188">
        <f t="shared" si="18"/>
        <v>0</v>
      </c>
    </row>
    <row r="43" spans="2:33" ht="15" customHeight="1" x14ac:dyDescent="0.15">
      <c r="B43" s="174" t="s">
        <v>7</v>
      </c>
      <c r="C43" s="175" t="s">
        <v>13</v>
      </c>
      <c r="D43" s="176" t="str">
        <f t="shared" si="0"/>
        <v>C</v>
      </c>
      <c r="E43" s="177" t="d">
        <v>2021-08-03T15:59:59.99999979045242400</v>
      </c>
      <c r="F43" s="178" t="s">
        <v>103</v>
      </c>
      <c r="G43" s="179">
        <v>109.036</v>
      </c>
      <c r="H43" s="179">
        <v>109.206</v>
      </c>
      <c r="I43" s="180">
        <f t="shared" si="1"/>
        <v>0.17000000000000171</v>
      </c>
      <c r="J43" s="179">
        <v>107.96899999999999</v>
      </c>
      <c r="K43" s="177" t="d">
        <v>2021-08-03T20:45:00.00000020954757600</v>
      </c>
      <c r="L43" s="179">
        <v>109.12</v>
      </c>
      <c r="M43" s="181">
        <f t="shared" si="2"/>
        <v>-8.4000000000000005E-2</v>
      </c>
      <c r="N43" s="182">
        <f t="shared" si="3"/>
        <v>-0.49</v>
      </c>
      <c r="O43" s="183">
        <f t="shared" si="4"/>
        <v>0</v>
      </c>
      <c r="P43" s="184">
        <f t="shared" si="5"/>
        <v>0</v>
      </c>
      <c r="Q43" s="184">
        <f t="shared" si="6"/>
        <v>-0.49</v>
      </c>
      <c r="R43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3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28232.5</v>
      </c>
      <c r="T43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28355</v>
      </c>
      <c r="U43" s="186">
        <f ca="1">IF(Tabla33610673487[[#This Row],[Equity]]&lt;Tabla33610673487[[#This Row],[Equity Peak]],(Tabla33610673487[[#This Row],[Equity Peak]]-Tabla33610673487[[#This Row],[Equity]])/Tabla33610673487[[#This Row],[Equity Peak]],"")</f>
        <v>4.3202257097513666E-3</v>
      </c>
      <c r="V43" s="187">
        <f t="shared" si="7"/>
        <v>-0.49</v>
      </c>
      <c r="W43" s="187">
        <f t="shared" si="8"/>
        <v>0</v>
      </c>
      <c r="X43" s="187">
        <f t="shared" si="9"/>
        <v>0</v>
      </c>
      <c r="Y43" s="187">
        <f t="shared" si="10"/>
        <v>0</v>
      </c>
      <c r="Z43" s="187">
        <f t="shared" si="11"/>
        <v>0</v>
      </c>
      <c r="AA43" s="183">
        <f t="shared" si="12"/>
        <v>0</v>
      </c>
      <c r="AB43" s="187">
        <f t="shared" si="13"/>
        <v>0</v>
      </c>
      <c r="AC43" s="183">
        <f t="shared" si="14"/>
        <v>0</v>
      </c>
      <c r="AD43" s="188">
        <f t="shared" si="15"/>
        <v>0.19791666667151731</v>
      </c>
      <c r="AE43" s="188">
        <f t="shared" si="16"/>
        <v>0</v>
      </c>
      <c r="AF43" s="188">
        <f t="shared" si="17"/>
        <v>0.19791666667151731</v>
      </c>
      <c r="AG43" s="188">
        <f t="shared" si="18"/>
        <v>0</v>
      </c>
    </row>
    <row r="44" spans="2:33" ht="15" customHeight="1" x14ac:dyDescent="0.15">
      <c r="B44" s="174" t="s">
        <v>7</v>
      </c>
      <c r="C44" s="175" t="s">
        <v>13</v>
      </c>
      <c r="D44" s="176" t="str">
        <f t="shared" si="0"/>
        <v>C</v>
      </c>
      <c r="E44" s="177" t="d">
        <v>2021-07-19T15:45:00.000</v>
      </c>
      <c r="F44" s="178" t="s">
        <v>103</v>
      </c>
      <c r="G44" s="179">
        <v>109.48699999999999</v>
      </c>
      <c r="H44" s="179">
        <v>109.661</v>
      </c>
      <c r="I44" s="180">
        <f t="shared" si="1"/>
        <v>0.17400000000000659</v>
      </c>
      <c r="J44" s="179">
        <v>108.393</v>
      </c>
      <c r="K44" s="177" t="d">
        <v>2021-07-19T17:39:00.00000029336660775</v>
      </c>
      <c r="L44" s="179">
        <v>109.398</v>
      </c>
      <c r="M44" s="181">
        <f t="shared" si="2"/>
        <v>8.8999999999999996E-2</v>
      </c>
      <c r="N44" s="182">
        <f t="shared" si="3"/>
        <v>0.51</v>
      </c>
      <c r="O44" s="183">
        <f t="shared" si="4"/>
        <v>0</v>
      </c>
      <c r="P44" s="184">
        <f t="shared" si="5"/>
        <v>0.51</v>
      </c>
      <c r="Q44" s="184">
        <f t="shared" si="6"/>
        <v>0</v>
      </c>
      <c r="R44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4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28355</v>
      </c>
      <c r="T44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28355</v>
      </c>
      <c r="U44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44" s="187">
        <f t="shared" si="7"/>
        <v>0.51</v>
      </c>
      <c r="W44" s="187">
        <f t="shared" si="8"/>
        <v>0</v>
      </c>
      <c r="X44" s="187">
        <f t="shared" si="9"/>
        <v>0</v>
      </c>
      <c r="Y44" s="187">
        <f t="shared" si="10"/>
        <v>0</v>
      </c>
      <c r="Z44" s="187">
        <f t="shared" si="11"/>
        <v>0</v>
      </c>
      <c r="AA44" s="183">
        <f t="shared" si="12"/>
        <v>0</v>
      </c>
      <c r="AB44" s="187">
        <f t="shared" si="13"/>
        <v>0</v>
      </c>
      <c r="AC44" s="183">
        <f t="shared" si="14"/>
        <v>0</v>
      </c>
      <c r="AD44" s="188">
        <f t="shared" si="15"/>
        <v>7.9166666670062114E-2</v>
      </c>
      <c r="AE44" s="188">
        <f t="shared" si="16"/>
        <v>7.9166666670062114E-2</v>
      </c>
      <c r="AF44" s="188">
        <f t="shared" si="17"/>
        <v>0</v>
      </c>
      <c r="AG44" s="188">
        <f t="shared" si="18"/>
        <v>0</v>
      </c>
    </row>
    <row r="45" spans="2:33" ht="15" customHeight="1" x14ac:dyDescent="0.15">
      <c r="B45" s="174" t="s">
        <v>7</v>
      </c>
      <c r="C45" s="175" t="s">
        <v>13</v>
      </c>
      <c r="D45" s="176" t="str">
        <f t="shared" si="0"/>
        <v>C</v>
      </c>
      <c r="E45" s="177" t="d">
        <v>2021-07-08T09:59:59.99999979045242400</v>
      </c>
      <c r="F45" s="178" t="s">
        <v>103</v>
      </c>
      <c r="G45" s="179">
        <v>110.163</v>
      </c>
      <c r="H45" s="179">
        <v>110.32599999999999</v>
      </c>
      <c r="I45" s="180">
        <f t="shared" si="1"/>
        <v>0.1629999999999967</v>
      </c>
      <c r="J45" s="179">
        <v>109.13800000000001</v>
      </c>
      <c r="K45" s="177" t="d">
        <v>2021-07-08T12:36:59.99999969266355025</v>
      </c>
      <c r="L45" s="179">
        <v>110.003</v>
      </c>
      <c r="M45" s="181">
        <f t="shared" si="2"/>
        <v>0.16</v>
      </c>
      <c r="N45" s="182">
        <f t="shared" si="3"/>
        <v>0.98</v>
      </c>
      <c r="O45" s="183">
        <f t="shared" si="4"/>
        <v>0</v>
      </c>
      <c r="P45" s="184">
        <f t="shared" si="5"/>
        <v>0.98</v>
      </c>
      <c r="Q45" s="184">
        <f t="shared" si="6"/>
        <v>0</v>
      </c>
      <c r="R45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5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28227.5</v>
      </c>
      <c r="T45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28227.5</v>
      </c>
      <c r="U45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45" s="187">
        <f t="shared" si="7"/>
        <v>0.98</v>
      </c>
      <c r="W45" s="187">
        <f t="shared" si="8"/>
        <v>0</v>
      </c>
      <c r="X45" s="187">
        <f t="shared" si="9"/>
        <v>0</v>
      </c>
      <c r="Y45" s="187">
        <f t="shared" si="10"/>
        <v>0</v>
      </c>
      <c r="Z45" s="187">
        <f t="shared" si="11"/>
        <v>0</v>
      </c>
      <c r="AA45" s="183">
        <f t="shared" si="12"/>
        <v>0</v>
      </c>
      <c r="AB45" s="187">
        <f t="shared" si="13"/>
        <v>0</v>
      </c>
      <c r="AC45" s="183">
        <f t="shared" si="14"/>
        <v>0</v>
      </c>
      <c r="AD45" s="188">
        <f t="shared" si="15"/>
        <v>0.10902777777664596</v>
      </c>
      <c r="AE45" s="188">
        <f t="shared" si="16"/>
        <v>0.10902777777664596</v>
      </c>
      <c r="AF45" s="188">
        <f t="shared" si="17"/>
        <v>0</v>
      </c>
      <c r="AG45" s="188">
        <f t="shared" si="18"/>
        <v>0</v>
      </c>
    </row>
    <row r="46" spans="2:33" ht="15" customHeight="1" x14ac:dyDescent="0.15">
      <c r="B46" s="174" t="s">
        <v>7</v>
      </c>
      <c r="C46" s="175" t="s">
        <v>15</v>
      </c>
      <c r="D46" s="176" t="str">
        <f t="shared" si="0"/>
        <v>C</v>
      </c>
      <c r="E46" s="177" t="d">
        <v>2021-07-01T02:45:00.00000020954757600</v>
      </c>
      <c r="F46" s="178" t="s">
        <v>103</v>
      </c>
      <c r="G46" s="179">
        <v>111.134</v>
      </c>
      <c r="H46" s="179">
        <v>110.98</v>
      </c>
      <c r="I46" s="180">
        <f t="shared" si="1"/>
        <v>0.15399999999999636</v>
      </c>
      <c r="J46" s="179">
        <v>112.105</v>
      </c>
      <c r="K46" s="177" t="d">
        <v>2021-07-01T14:06:59.99999969266355025</v>
      </c>
      <c r="L46" s="179">
        <v>111.426</v>
      </c>
      <c r="M46" s="181">
        <f t="shared" si="2"/>
        <v>0.29199999999999998</v>
      </c>
      <c r="N46" s="182">
        <f t="shared" si="3"/>
        <v>1.9</v>
      </c>
      <c r="O46" s="183">
        <f t="shared" si="4"/>
        <v>0</v>
      </c>
      <c r="P46" s="184">
        <f t="shared" si="5"/>
        <v>1.9</v>
      </c>
      <c r="Q46" s="184">
        <f t="shared" si="6"/>
        <v>0</v>
      </c>
      <c r="R46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6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27982.5</v>
      </c>
      <c r="T46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27982.5</v>
      </c>
      <c r="U46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46" s="187">
        <f t="shared" si="7"/>
        <v>1.9</v>
      </c>
      <c r="W46" s="187">
        <f t="shared" si="8"/>
        <v>0</v>
      </c>
      <c r="X46" s="187">
        <f t="shared" si="9"/>
        <v>0</v>
      </c>
      <c r="Y46" s="187">
        <f t="shared" si="10"/>
        <v>0</v>
      </c>
      <c r="Z46" s="187">
        <f t="shared" si="11"/>
        <v>0</v>
      </c>
      <c r="AA46" s="183">
        <f t="shared" si="12"/>
        <v>0</v>
      </c>
      <c r="AB46" s="187">
        <f t="shared" si="13"/>
        <v>0</v>
      </c>
      <c r="AC46" s="183">
        <f t="shared" si="14"/>
        <v>0</v>
      </c>
      <c r="AD46" s="188">
        <f t="shared" si="15"/>
        <v>0.47361111110512866</v>
      </c>
      <c r="AE46" s="188">
        <f t="shared" si="16"/>
        <v>0.47361111110512866</v>
      </c>
      <c r="AF46" s="188">
        <f t="shared" si="17"/>
        <v>0</v>
      </c>
      <c r="AG46" s="188">
        <f t="shared" si="18"/>
        <v>0</v>
      </c>
    </row>
    <row r="47" spans="2:33" ht="15" customHeight="1" x14ac:dyDescent="0.15">
      <c r="B47" s="174" t="s">
        <v>7</v>
      </c>
      <c r="C47" s="175" t="s">
        <v>15</v>
      </c>
      <c r="D47" s="176" t="str">
        <f t="shared" si="0"/>
        <v>C</v>
      </c>
      <c r="E47" s="177" t="d">
        <v>2021-06-23T05:00:00.00000020954757600</v>
      </c>
      <c r="F47" s="178" t="s">
        <v>103</v>
      </c>
      <c r="G47" s="179">
        <v>110.831</v>
      </c>
      <c r="H47" s="179">
        <v>110.63</v>
      </c>
      <c r="I47" s="180">
        <f t="shared" si="1"/>
        <v>0.20100000000000762</v>
      </c>
      <c r="J47" s="179">
        <v>112.095</v>
      </c>
      <c r="K47" s="177" t="d">
        <v>2021-06-23T14:35:59.99999970663339225</v>
      </c>
      <c r="L47" s="179">
        <v>110.82599999999999</v>
      </c>
      <c r="M47" s="181">
        <f t="shared" si="2"/>
        <v>-5.0000000000000001E-3</v>
      </c>
      <c r="N47" s="182">
        <f t="shared" si="3"/>
        <v>-0.02</v>
      </c>
      <c r="O47" s="183">
        <f t="shared" si="4"/>
        <v>0</v>
      </c>
      <c r="P47" s="184">
        <f t="shared" si="5"/>
        <v>0</v>
      </c>
      <c r="Q47" s="184">
        <f t="shared" si="6"/>
        <v>-0.02</v>
      </c>
      <c r="R47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7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27507.5</v>
      </c>
      <c r="T47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27597.5</v>
      </c>
      <c r="U47" s="186">
        <f ca="1">IF(Tabla33610673487[[#This Row],[Equity]]&lt;Tabla33610673487[[#This Row],[Equity Peak]],(Tabla33610673487[[#This Row],[Equity Peak]]-Tabla33610673487[[#This Row],[Equity]])/Tabla33610673487[[#This Row],[Equity Peak]],"")</f>
        <v>3.2611649605942569E-3</v>
      </c>
      <c r="V47" s="187">
        <f t="shared" si="7"/>
        <v>-0.02</v>
      </c>
      <c r="W47" s="187">
        <f t="shared" si="8"/>
        <v>0</v>
      </c>
      <c r="X47" s="187">
        <f t="shared" si="9"/>
        <v>0</v>
      </c>
      <c r="Y47" s="187">
        <f t="shared" si="10"/>
        <v>0</v>
      </c>
      <c r="Z47" s="187">
        <f t="shared" si="11"/>
        <v>0</v>
      </c>
      <c r="AA47" s="183">
        <f t="shared" si="12"/>
        <v>0</v>
      </c>
      <c r="AB47" s="187">
        <f t="shared" si="13"/>
        <v>0</v>
      </c>
      <c r="AC47" s="183">
        <f t="shared" si="14"/>
        <v>0</v>
      </c>
      <c r="AD47" s="188">
        <f t="shared" si="15"/>
        <v>0.39999999999417923</v>
      </c>
      <c r="AE47" s="188">
        <f t="shared" si="16"/>
        <v>0</v>
      </c>
      <c r="AF47" s="188">
        <f t="shared" si="17"/>
        <v>0.39999999999417923</v>
      </c>
      <c r="AG47" s="188">
        <f t="shared" si="18"/>
        <v>0</v>
      </c>
    </row>
    <row r="48" spans="2:33" ht="15" customHeight="1" x14ac:dyDescent="0.15">
      <c r="B48" s="174" t="s">
        <v>7</v>
      </c>
      <c r="C48" s="175" t="s">
        <v>15</v>
      </c>
      <c r="D48" s="176" t="str">
        <f t="shared" si="0"/>
        <v>C</v>
      </c>
      <c r="E48" s="177" t="d">
        <v>2021-06-16T21:14:59.99999979045242400</v>
      </c>
      <c r="F48" s="178" t="s">
        <v>103</v>
      </c>
      <c r="G48" s="179">
        <v>110.401</v>
      </c>
      <c r="H48" s="179">
        <v>110.255</v>
      </c>
      <c r="I48" s="180">
        <f t="shared" si="1"/>
        <v>0.1460000000000008</v>
      </c>
      <c r="J48" s="179">
        <v>111.31699999999999</v>
      </c>
      <c r="K48" s="177" t="d">
        <v>2021-06-17T05:09:00.00000008381903175</v>
      </c>
      <c r="L48" s="179">
        <v>110.61799999999999</v>
      </c>
      <c r="M48" s="181">
        <f t="shared" si="2"/>
        <v>0.217</v>
      </c>
      <c r="N48" s="182">
        <f t="shared" si="3"/>
        <v>1.49</v>
      </c>
      <c r="O48" s="183">
        <f t="shared" si="4"/>
        <v>0</v>
      </c>
      <c r="P48" s="184">
        <f t="shared" si="5"/>
        <v>1.49</v>
      </c>
      <c r="Q48" s="184">
        <f t="shared" si="6"/>
        <v>0</v>
      </c>
      <c r="R48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8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27512.5</v>
      </c>
      <c r="T48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27597.5</v>
      </c>
      <c r="U48" s="186">
        <f ca="1">IF(Tabla33610673487[[#This Row],[Equity]]&lt;Tabla33610673487[[#This Row],[Equity Peak]],(Tabla33610673487[[#This Row],[Equity Peak]]-Tabla33610673487[[#This Row],[Equity]])/Tabla33610673487[[#This Row],[Equity Peak]],"")</f>
        <v>3.0799891294501312E-3</v>
      </c>
      <c r="V48" s="187">
        <f t="shared" si="7"/>
        <v>1.49</v>
      </c>
      <c r="W48" s="187">
        <f t="shared" si="8"/>
        <v>0</v>
      </c>
      <c r="X48" s="187">
        <f t="shared" si="9"/>
        <v>0</v>
      </c>
      <c r="Y48" s="187">
        <f t="shared" si="10"/>
        <v>0</v>
      </c>
      <c r="Z48" s="187">
        <f t="shared" si="11"/>
        <v>0</v>
      </c>
      <c r="AA48" s="183">
        <f t="shared" si="12"/>
        <v>0</v>
      </c>
      <c r="AB48" s="187">
        <f t="shared" si="13"/>
        <v>0</v>
      </c>
      <c r="AC48" s="183">
        <f t="shared" si="14"/>
        <v>0</v>
      </c>
      <c r="AD48" s="188">
        <f t="shared" si="15"/>
        <v>0.32916666667006211</v>
      </c>
      <c r="AE48" s="188">
        <f t="shared" si="16"/>
        <v>0.32916666667006211</v>
      </c>
      <c r="AF48" s="188">
        <f t="shared" si="17"/>
        <v>0</v>
      </c>
      <c r="AG48" s="188">
        <f t="shared" si="18"/>
        <v>0</v>
      </c>
    </row>
    <row r="49" spans="2:33" ht="15" customHeight="1" x14ac:dyDescent="0.15">
      <c r="B49" s="174" t="s">
        <v>7</v>
      </c>
      <c r="C49" s="175" t="s">
        <v>15</v>
      </c>
      <c r="D49" s="176" t="str">
        <f t="shared" ref="D49:D78" si="19">IF(E49&lt;&gt;"",IF(K49&lt;&gt;"","C","O"),"")</f>
        <v>C</v>
      </c>
      <c r="E49" s="177" t="d">
        <v>2021-06-03T18:30:00.00000020954757600</v>
      </c>
      <c r="F49" s="178" t="s">
        <v>103</v>
      </c>
      <c r="G49" s="179">
        <v>110.233</v>
      </c>
      <c r="H49" s="179">
        <v>110.077</v>
      </c>
      <c r="I49" s="180">
        <f t="shared" ref="I49:I78" si="20">ABS(G49-H49)</f>
        <v>0.15600000000000591</v>
      </c>
      <c r="J49" s="179">
        <v>111.212</v>
      </c>
      <c r="K49" s="177" t="d">
        <v>2021-06-04T12:52:00.00000011175870900</v>
      </c>
      <c r="L49" s="179">
        <v>110.123</v>
      </c>
      <c r="M49" s="181">
        <f t="shared" ref="M49:M78" si="21">ROUND(IF(C49="L",(L49-G49),(G49-L49)),4)</f>
        <v>-0.11</v>
      </c>
      <c r="N49" s="182">
        <f t="shared" ref="N49:N78" si="22">IFERROR(ROUND((M49/I49),2),"")</f>
        <v>-0.71</v>
      </c>
      <c r="O49" s="183">
        <f t="shared" ref="O49:O78" si="23">IF(D49="O",IF(N49&lt;0,N49,0),0)</f>
        <v>0</v>
      </c>
      <c r="P49" s="184">
        <f t="shared" ref="P49:P78" si="24">IF(N49&gt;= 0,N49,0)</f>
        <v>0</v>
      </c>
      <c r="Q49" s="184">
        <f t="shared" ref="Q49:Q78" si="25">IF(N49&lt;0,N49,0)</f>
        <v>-0.71</v>
      </c>
      <c r="R49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49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27140</v>
      </c>
      <c r="T49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27597.5</v>
      </c>
      <c r="U49" s="186">
        <f ca="1">IF(Tabla33610673487[[#This Row],[Equity]]&lt;Tabla33610673487[[#This Row],[Equity Peak]],(Tabla33610673487[[#This Row],[Equity Peak]]-Tabla33610673487[[#This Row],[Equity]])/Tabla33610673487[[#This Row],[Equity Peak]],"")</f>
        <v>1.6577588549687473E-2</v>
      </c>
      <c r="V49" s="187">
        <f t="shared" ref="V49:V78" si="26">IF(B49="FX",N49,0)</f>
        <v>-0.71</v>
      </c>
      <c r="W49" s="187">
        <f t="shared" ref="W49:W78" si="27">IF(D49="O",IF(V49&lt;0,V49,0),0)</f>
        <v>0</v>
      </c>
      <c r="X49" s="187">
        <f t="shared" ref="X49:X78" si="28">IF(B49="COM",N49,0)</f>
        <v>0</v>
      </c>
      <c r="Y49" s="187">
        <f t="shared" ref="Y49:Y78" si="29">IF(D49="O",IF(X49&lt;0,X49,0),0)</f>
        <v>0</v>
      </c>
      <c r="Z49" s="187">
        <f t="shared" ref="Z49:Z78" si="30">IF(B49="IND",N49,0)</f>
        <v>0</v>
      </c>
      <c r="AA49" s="183">
        <f t="shared" ref="AA49:AA78" si="31">IF(D49="O",IF(Z49&lt;0,Z49,0),0)</f>
        <v>0</v>
      </c>
      <c r="AB49" s="187">
        <f t="shared" ref="AB49:AB78" si="32">IF(B49="CRYPTO",N49,0)</f>
        <v>0</v>
      </c>
      <c r="AC49" s="183">
        <f t="shared" ref="AC49:AC78" si="33">IF(D49="O",IF(AB49&lt;0,AB49,0),0)</f>
        <v>0</v>
      </c>
      <c r="AD49" s="188">
        <f t="shared" ref="AD49:AD78" si="34">IF(K49&lt;&gt;"",K49-E49,0)</f>
        <v>0.76527777777664596</v>
      </c>
      <c r="AE49" s="188">
        <f t="shared" ref="AE49:AE78" si="35">IF(N49&gt;0,AD49,0)</f>
        <v>0</v>
      </c>
      <c r="AF49" s="188">
        <f t="shared" ref="AF49:AF78" si="36">IF(N49&lt;0,AD49,0)</f>
        <v>0.76527777777664596</v>
      </c>
      <c r="AG49" s="188">
        <f t="shared" ref="AG49:AG78" si="37">IF(N49=0,AD49,0)</f>
        <v>0</v>
      </c>
    </row>
    <row r="50" spans="2:33" ht="15" customHeight="1" x14ac:dyDescent="0.15">
      <c r="B50" s="174" t="s">
        <v>7</v>
      </c>
      <c r="C50" s="175" t="s">
        <v>15</v>
      </c>
      <c r="D50" s="176" t="str">
        <f t="shared" si="19"/>
        <v>C</v>
      </c>
      <c r="E50" s="177" t="d">
        <v>2021-05-27T18:59:59.99999979045242400</v>
      </c>
      <c r="F50" s="178" t="s">
        <v>103</v>
      </c>
      <c r="G50" s="179">
        <v>109.819</v>
      </c>
      <c r="H50" s="179">
        <v>109.65900000000001</v>
      </c>
      <c r="I50" s="180">
        <f t="shared" si="20"/>
        <v>0.15999999999999659</v>
      </c>
      <c r="J50" s="179">
        <v>110.825</v>
      </c>
      <c r="K50" s="177" t="d">
        <v>2021-05-28T16:54:00.00000029336660775</v>
      </c>
      <c r="L50" s="179">
        <v>109.991</v>
      </c>
      <c r="M50" s="181">
        <f t="shared" si="21"/>
        <v>0.17199999999999999</v>
      </c>
      <c r="N50" s="182">
        <f t="shared" si="22"/>
        <v>1.08</v>
      </c>
      <c r="O50" s="183">
        <f t="shared" si="23"/>
        <v>0</v>
      </c>
      <c r="P50" s="184">
        <f t="shared" si="24"/>
        <v>1.08</v>
      </c>
      <c r="Q50" s="184">
        <f t="shared" si="25"/>
        <v>0</v>
      </c>
      <c r="R50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0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27317.5</v>
      </c>
      <c r="T50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27597.5</v>
      </c>
      <c r="U50" s="186">
        <f ca="1">IF(Tabla33610673487[[#This Row],[Equity]]&lt;Tabla33610673487[[#This Row],[Equity Peak]],(Tabla33610673487[[#This Row],[Equity Peak]]-Tabla33610673487[[#This Row],[Equity]])/Tabla33610673487[[#This Row],[Equity Peak]],"")</f>
        <v>1.0145846544071021E-2</v>
      </c>
      <c r="V50" s="187">
        <f t="shared" si="26"/>
        <v>1.08</v>
      </c>
      <c r="W50" s="187">
        <f t="shared" si="27"/>
        <v>0</v>
      </c>
      <c r="X50" s="187">
        <f t="shared" si="28"/>
        <v>0</v>
      </c>
      <c r="Y50" s="187">
        <f t="shared" si="29"/>
        <v>0</v>
      </c>
      <c r="Z50" s="187">
        <f t="shared" si="30"/>
        <v>0</v>
      </c>
      <c r="AA50" s="183">
        <f t="shared" si="31"/>
        <v>0</v>
      </c>
      <c r="AB50" s="187">
        <f t="shared" si="32"/>
        <v>0</v>
      </c>
      <c r="AC50" s="183">
        <f t="shared" si="33"/>
        <v>0</v>
      </c>
      <c r="AD50" s="188">
        <f t="shared" si="34"/>
        <v>0.91250000000582077</v>
      </c>
      <c r="AE50" s="188">
        <f t="shared" si="35"/>
        <v>0.91250000000582077</v>
      </c>
      <c r="AF50" s="188">
        <f t="shared" si="36"/>
        <v>0</v>
      </c>
      <c r="AG50" s="188">
        <f t="shared" si="37"/>
        <v>0</v>
      </c>
    </row>
    <row r="51" spans="2:33" ht="15" customHeight="1" x14ac:dyDescent="0.15">
      <c r="B51" s="174" t="s">
        <v>7</v>
      </c>
      <c r="C51" s="175" t="s">
        <v>15</v>
      </c>
      <c r="D51" s="176" t="str">
        <f t="shared" si="19"/>
        <v>C</v>
      </c>
      <c r="E51" s="177" t="d">
        <v>2021-05-13T03:14:59.99999979045242400</v>
      </c>
      <c r="F51" s="178" t="s">
        <v>103</v>
      </c>
      <c r="G51" s="179">
        <v>109.75</v>
      </c>
      <c r="H51" s="179">
        <v>109.541</v>
      </c>
      <c r="I51" s="180">
        <f t="shared" si="20"/>
        <v>0.20900000000000318</v>
      </c>
      <c r="J51" s="179">
        <v>111.06699999999999</v>
      </c>
      <c r="K51" s="177" t="d">
        <v>2021-05-13T03:53:59.99999987427145575</v>
      </c>
      <c r="L51" s="179">
        <v>109.541</v>
      </c>
      <c r="M51" s="181">
        <f t="shared" si="21"/>
        <v>-0.20899999999999999</v>
      </c>
      <c r="N51" s="182">
        <f t="shared" si="22"/>
        <v>-1</v>
      </c>
      <c r="O51" s="183">
        <f t="shared" si="23"/>
        <v>0</v>
      </c>
      <c r="P51" s="184">
        <f t="shared" si="24"/>
        <v>0</v>
      </c>
      <c r="Q51" s="184">
        <f t="shared" si="25"/>
        <v>-1</v>
      </c>
      <c r="R51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1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27047.5</v>
      </c>
      <c r="T51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27597.5</v>
      </c>
      <c r="U51" s="186">
        <f ca="1">IF(Tabla33610673487[[#This Row],[Equity]]&lt;Tabla33610673487[[#This Row],[Equity Peak]],(Tabla33610673487[[#This Row],[Equity Peak]]-Tabla33610673487[[#This Row],[Equity]])/Tabla33610673487[[#This Row],[Equity Peak]],"")</f>
        <v>1.9929341425853789E-2</v>
      </c>
      <c r="V51" s="187">
        <f t="shared" si="26"/>
        <v>-1</v>
      </c>
      <c r="W51" s="187">
        <f t="shared" si="27"/>
        <v>0</v>
      </c>
      <c r="X51" s="187">
        <f t="shared" si="28"/>
        <v>0</v>
      </c>
      <c r="Y51" s="187">
        <f t="shared" si="29"/>
        <v>0</v>
      </c>
      <c r="Z51" s="187">
        <f t="shared" si="30"/>
        <v>0</v>
      </c>
      <c r="AA51" s="183">
        <f t="shared" si="31"/>
        <v>0</v>
      </c>
      <c r="AB51" s="187">
        <f t="shared" si="32"/>
        <v>0</v>
      </c>
      <c r="AC51" s="183">
        <f t="shared" si="33"/>
        <v>0</v>
      </c>
      <c r="AD51" s="188">
        <f t="shared" si="34"/>
        <v>2.7083333334303461E-2</v>
      </c>
      <c r="AE51" s="188">
        <f t="shared" si="35"/>
        <v>0</v>
      </c>
      <c r="AF51" s="188">
        <f t="shared" si="36"/>
        <v>2.7083333334303461E-2</v>
      </c>
      <c r="AG51" s="188">
        <f t="shared" si="37"/>
        <v>0</v>
      </c>
    </row>
    <row r="52" spans="2:33" ht="15" customHeight="1" x14ac:dyDescent="0.15">
      <c r="B52" s="174" t="s">
        <v>7</v>
      </c>
      <c r="C52" s="175" t="s">
        <v>15</v>
      </c>
      <c r="D52" s="176" t="str">
        <f t="shared" si="19"/>
        <v>C</v>
      </c>
      <c r="E52" s="177" t="d">
        <v>2021-04-30T18:00:00.000</v>
      </c>
      <c r="F52" s="178" t="s">
        <v>103</v>
      </c>
      <c r="G52" s="179">
        <v>109.28700000000001</v>
      </c>
      <c r="H52" s="179">
        <v>109.08799999999999</v>
      </c>
      <c r="I52" s="180">
        <f t="shared" si="20"/>
        <v>0.19900000000001228</v>
      </c>
      <c r="J52" s="179">
        <v>110.54</v>
      </c>
      <c r="K52" s="177" t="d">
        <v>2021-05-03T13:50:59.99999970663339225</v>
      </c>
      <c r="L52" s="179">
        <v>109.435</v>
      </c>
      <c r="M52" s="181">
        <f t="shared" si="21"/>
        <v>0.14799999999999999</v>
      </c>
      <c r="N52" s="182">
        <f t="shared" si="22"/>
        <v>0.74</v>
      </c>
      <c r="O52" s="183">
        <f t="shared" si="23"/>
        <v>0</v>
      </c>
      <c r="P52" s="184">
        <f t="shared" si="24"/>
        <v>0.74</v>
      </c>
      <c r="Q52" s="184">
        <f t="shared" si="25"/>
        <v>0</v>
      </c>
      <c r="R52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2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27297.5</v>
      </c>
      <c r="T52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27597.5</v>
      </c>
      <c r="U52" s="186">
        <f ca="1">IF(Tabla33610673487[[#This Row],[Equity]]&lt;Tabla33610673487[[#This Row],[Equity Peak]],(Tabla33610673487[[#This Row],[Equity Peak]]-Tabla33610673487[[#This Row],[Equity]])/Tabla33610673487[[#This Row],[Equity Peak]],"")</f>
        <v>1.0870549868647522E-2</v>
      </c>
      <c r="V52" s="187">
        <f t="shared" si="26"/>
        <v>0.74</v>
      </c>
      <c r="W52" s="187">
        <f t="shared" si="27"/>
        <v>0</v>
      </c>
      <c r="X52" s="187">
        <f t="shared" si="28"/>
        <v>0</v>
      </c>
      <c r="Y52" s="187">
        <f t="shared" si="29"/>
        <v>0</v>
      </c>
      <c r="Z52" s="187">
        <f t="shared" si="30"/>
        <v>0</v>
      </c>
      <c r="AA52" s="183">
        <f t="shared" si="31"/>
        <v>0</v>
      </c>
      <c r="AB52" s="187">
        <f t="shared" si="32"/>
        <v>0</v>
      </c>
      <c r="AC52" s="183">
        <f t="shared" si="33"/>
        <v>0</v>
      </c>
      <c r="AD52" s="188">
        <f t="shared" si="34"/>
        <v>2.8270833333299379</v>
      </c>
      <c r="AE52" s="188">
        <f t="shared" si="35"/>
        <v>2.8270833333299379</v>
      </c>
      <c r="AF52" s="188">
        <f t="shared" si="36"/>
        <v>0</v>
      </c>
      <c r="AG52" s="188">
        <f t="shared" si="37"/>
        <v>0</v>
      </c>
    </row>
    <row r="53" spans="2:33" ht="15" customHeight="1" x14ac:dyDescent="0.15">
      <c r="B53" s="174" t="s">
        <v>7</v>
      </c>
      <c r="C53" s="175" t="s">
        <v>13</v>
      </c>
      <c r="D53" s="176" t="str">
        <f t="shared" si="19"/>
        <v>C</v>
      </c>
      <c r="E53" s="177" t="d">
        <v>2021-04-23T15:00:00.000</v>
      </c>
      <c r="F53" s="178" t="s">
        <v>103</v>
      </c>
      <c r="G53" s="179">
        <v>107.779</v>
      </c>
      <c r="H53" s="179">
        <v>107.96299999999999</v>
      </c>
      <c r="I53" s="180">
        <f t="shared" si="20"/>
        <v>0.1839999999999975</v>
      </c>
      <c r="J53" s="179">
        <v>106.62</v>
      </c>
      <c r="K53" s="177" t="d">
        <v>2021-04-23T16:51:59.99999990221113300</v>
      </c>
      <c r="L53" s="179">
        <v>107.756</v>
      </c>
      <c r="M53" s="181">
        <f t="shared" si="21"/>
        <v>2.3E-2</v>
      </c>
      <c r="N53" s="182">
        <f t="shared" si="22"/>
        <v>0.13</v>
      </c>
      <c r="O53" s="183">
        <f t="shared" si="23"/>
        <v>0</v>
      </c>
      <c r="P53" s="184">
        <f t="shared" si="24"/>
        <v>0.13</v>
      </c>
      <c r="Q53" s="184">
        <f t="shared" si="25"/>
        <v>0</v>
      </c>
      <c r="R53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3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27112.5</v>
      </c>
      <c r="T53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27597.5</v>
      </c>
      <c r="U53" s="186">
        <f ca="1">IF(Tabla33610673487[[#This Row],[Equity]]&lt;Tabla33610673487[[#This Row],[Equity Peak]],(Tabla33610673487[[#This Row],[Equity Peak]]-Tabla33610673487[[#This Row],[Equity]])/Tabla33610673487[[#This Row],[Equity Peak]],"")</f>
        <v>1.7574055620980161E-2</v>
      </c>
      <c r="V53" s="187">
        <f t="shared" si="26"/>
        <v>0.13</v>
      </c>
      <c r="W53" s="187">
        <f t="shared" si="27"/>
        <v>0</v>
      </c>
      <c r="X53" s="187">
        <f t="shared" si="28"/>
        <v>0</v>
      </c>
      <c r="Y53" s="187">
        <f t="shared" si="29"/>
        <v>0</v>
      </c>
      <c r="Z53" s="187">
        <f t="shared" si="30"/>
        <v>0</v>
      </c>
      <c r="AA53" s="183">
        <f t="shared" si="31"/>
        <v>0</v>
      </c>
      <c r="AB53" s="187">
        <f t="shared" si="32"/>
        <v>0</v>
      </c>
      <c r="AC53" s="183">
        <f t="shared" si="33"/>
        <v>0</v>
      </c>
      <c r="AD53" s="188">
        <f t="shared" si="34"/>
        <v>7.7777777776645962E-2</v>
      </c>
      <c r="AE53" s="188">
        <f t="shared" si="35"/>
        <v>7.7777777776645962E-2</v>
      </c>
      <c r="AF53" s="188">
        <f t="shared" si="36"/>
        <v>0</v>
      </c>
      <c r="AG53" s="188">
        <f t="shared" si="37"/>
        <v>0</v>
      </c>
    </row>
    <row r="54" spans="2:33" ht="15" customHeight="1" x14ac:dyDescent="0.15">
      <c r="B54" s="174" t="s">
        <v>7</v>
      </c>
      <c r="C54" s="175" t="s">
        <v>13</v>
      </c>
      <c r="D54" s="176" t="str">
        <f t="shared" si="19"/>
        <v>C</v>
      </c>
      <c r="E54" s="177" t="d">
        <v>2021-04-22T10:15:00.00000020954757600</v>
      </c>
      <c r="F54" s="178" t="s">
        <v>103</v>
      </c>
      <c r="G54" s="179">
        <v>107.846</v>
      </c>
      <c r="H54" s="179">
        <v>108.024</v>
      </c>
      <c r="I54" s="180">
        <f t="shared" si="20"/>
        <v>0.17799999999999727</v>
      </c>
      <c r="J54" s="179">
        <v>106.726</v>
      </c>
      <c r="K54" s="177" t="d">
        <v>2021-04-22T11:33:59.99999994412064550</v>
      </c>
      <c r="L54" s="179">
        <v>108.024</v>
      </c>
      <c r="M54" s="181">
        <f t="shared" si="21"/>
        <v>-0.17799999999999999</v>
      </c>
      <c r="N54" s="182">
        <f t="shared" si="22"/>
        <v>-1</v>
      </c>
      <c r="O54" s="183">
        <f t="shared" si="23"/>
        <v>0</v>
      </c>
      <c r="P54" s="184">
        <f t="shared" si="24"/>
        <v>0</v>
      </c>
      <c r="Q54" s="184">
        <f t="shared" si="25"/>
        <v>-1</v>
      </c>
      <c r="R54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4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27080</v>
      </c>
      <c r="T54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27597.5</v>
      </c>
      <c r="U54" s="186">
        <f ca="1">IF(Tabla33610673487[[#This Row],[Equity]]&lt;Tabla33610673487[[#This Row],[Equity Peak]],(Tabla33610673487[[#This Row],[Equity Peak]]-Tabla33610673487[[#This Row],[Equity]])/Tabla33610673487[[#This Row],[Equity Peak]],"")</f>
        <v>1.8751698523416977E-2</v>
      </c>
      <c r="V54" s="187">
        <f t="shared" si="26"/>
        <v>-1</v>
      </c>
      <c r="W54" s="187">
        <f t="shared" si="27"/>
        <v>0</v>
      </c>
      <c r="X54" s="187">
        <f t="shared" si="28"/>
        <v>0</v>
      </c>
      <c r="Y54" s="187">
        <f t="shared" si="29"/>
        <v>0</v>
      </c>
      <c r="Z54" s="187">
        <f t="shared" si="30"/>
        <v>0</v>
      </c>
      <c r="AA54" s="183">
        <f t="shared" si="31"/>
        <v>0</v>
      </c>
      <c r="AB54" s="187">
        <f t="shared" si="32"/>
        <v>0</v>
      </c>
      <c r="AC54" s="183">
        <f t="shared" si="33"/>
        <v>0</v>
      </c>
      <c r="AD54" s="188">
        <f t="shared" si="34"/>
        <v>5.486111110803904E-2</v>
      </c>
      <c r="AE54" s="188">
        <f t="shared" si="35"/>
        <v>0</v>
      </c>
      <c r="AF54" s="188">
        <f t="shared" si="36"/>
        <v>5.486111110803904E-2</v>
      </c>
      <c r="AG54" s="188">
        <f t="shared" si="37"/>
        <v>0</v>
      </c>
    </row>
    <row r="55" spans="2:33" ht="15" customHeight="1" x14ac:dyDescent="0.15">
      <c r="B55" s="174" t="s">
        <v>7</v>
      </c>
      <c r="C55" s="175" t="s">
        <v>13</v>
      </c>
      <c r="D55" s="176" t="str">
        <f t="shared" si="19"/>
        <v>C</v>
      </c>
      <c r="E55" s="177" t="d">
        <v>2021-04-21T03:30:00.00000020954757600</v>
      </c>
      <c r="F55" s="178" t="s">
        <v>103</v>
      </c>
      <c r="G55" s="179">
        <v>107.97</v>
      </c>
      <c r="H55" s="179">
        <v>108.149</v>
      </c>
      <c r="I55" s="180">
        <f t="shared" si="20"/>
        <v>0.17900000000000205</v>
      </c>
      <c r="J55" s="179">
        <v>106.84399999999999</v>
      </c>
      <c r="K55" s="177" t="d">
        <v>2021-04-21T10:37:00.00000011175870900</v>
      </c>
      <c r="L55" s="179">
        <v>108.149</v>
      </c>
      <c r="M55" s="181">
        <f t="shared" si="21"/>
        <v>-0.17899999999999999</v>
      </c>
      <c r="N55" s="182">
        <f t="shared" si="22"/>
        <v>-1</v>
      </c>
      <c r="O55" s="183">
        <f t="shared" si="23"/>
        <v>0</v>
      </c>
      <c r="P55" s="184">
        <f t="shared" si="24"/>
        <v>0</v>
      </c>
      <c r="Q55" s="184">
        <f t="shared" si="25"/>
        <v>-1</v>
      </c>
      <c r="R55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5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27330</v>
      </c>
      <c r="T55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27597.5</v>
      </c>
      <c r="U55" s="186">
        <f ca="1">IF(Tabla33610673487[[#This Row],[Equity]]&lt;Tabla33610673487[[#This Row],[Equity Peak]],(Tabla33610673487[[#This Row],[Equity Peak]]-Tabla33610673487[[#This Row],[Equity]])/Tabla33610673487[[#This Row],[Equity Peak]],"")</f>
        <v>9.6929069662107081E-3</v>
      </c>
      <c r="V55" s="187">
        <f t="shared" si="26"/>
        <v>-1</v>
      </c>
      <c r="W55" s="187">
        <f t="shared" si="27"/>
        <v>0</v>
      </c>
      <c r="X55" s="187">
        <f t="shared" si="28"/>
        <v>0</v>
      </c>
      <c r="Y55" s="187">
        <f t="shared" si="29"/>
        <v>0</v>
      </c>
      <c r="Z55" s="187">
        <f t="shared" si="30"/>
        <v>0</v>
      </c>
      <c r="AA55" s="183">
        <f t="shared" si="31"/>
        <v>0</v>
      </c>
      <c r="AB55" s="187">
        <f t="shared" si="32"/>
        <v>0</v>
      </c>
      <c r="AC55" s="183">
        <f t="shared" si="33"/>
        <v>0</v>
      </c>
      <c r="AD55" s="188">
        <f t="shared" si="34"/>
        <v>0.29652777777664596</v>
      </c>
      <c r="AE55" s="188">
        <f t="shared" si="35"/>
        <v>0</v>
      </c>
      <c r="AF55" s="188">
        <f t="shared" si="36"/>
        <v>0.29652777777664596</v>
      </c>
      <c r="AG55" s="188">
        <f t="shared" si="37"/>
        <v>0</v>
      </c>
    </row>
    <row r="56" spans="2:33" ht="15" customHeight="1" x14ac:dyDescent="0.15">
      <c r="B56" s="174" t="s">
        <v>7</v>
      </c>
      <c r="C56" s="175" t="s">
        <v>13</v>
      </c>
      <c r="D56" s="176" t="str">
        <f t="shared" si="19"/>
        <v>C</v>
      </c>
      <c r="E56" s="177" t="d">
        <v>2021-04-19T05:15:00.000</v>
      </c>
      <c r="F56" s="178" t="s">
        <v>103</v>
      </c>
      <c r="G56" s="179">
        <v>108.577</v>
      </c>
      <c r="H56" s="179">
        <v>108.76</v>
      </c>
      <c r="I56" s="180">
        <f t="shared" si="20"/>
        <v>0.18300000000000693</v>
      </c>
      <c r="J56" s="179">
        <v>107.42700000000001</v>
      </c>
      <c r="K56" s="177" t="d">
        <v>2021-04-19T16:44:59.99999979045242400</v>
      </c>
      <c r="L56" s="179">
        <v>108.28100000000001</v>
      </c>
      <c r="M56" s="181">
        <f t="shared" si="21"/>
        <v>0.29599999999999999</v>
      </c>
      <c r="N56" s="182">
        <f t="shared" si="22"/>
        <v>1.62</v>
      </c>
      <c r="O56" s="183">
        <f t="shared" si="23"/>
        <v>0</v>
      </c>
      <c r="P56" s="184">
        <f t="shared" si="24"/>
        <v>1.62</v>
      </c>
      <c r="Q56" s="184">
        <f t="shared" si="25"/>
        <v>0</v>
      </c>
      <c r="R56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6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27580</v>
      </c>
      <c r="T56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27597.5</v>
      </c>
      <c r="U56" s="186">
        <f ca="1">IF(Tabla33610673487[[#This Row],[Equity]]&lt;Tabla33610673487[[#This Row],[Equity Peak]],(Tabla33610673487[[#This Row],[Equity Peak]]-Tabla33610673487[[#This Row],[Equity]])/Tabla33610673487[[#This Row],[Equity Peak]],"")</f>
        <v>6.3411540900443881E-4</v>
      </c>
      <c r="V56" s="187">
        <f t="shared" si="26"/>
        <v>1.62</v>
      </c>
      <c r="W56" s="187">
        <f t="shared" si="27"/>
        <v>0</v>
      </c>
      <c r="X56" s="187">
        <f t="shared" si="28"/>
        <v>0</v>
      </c>
      <c r="Y56" s="187">
        <f t="shared" si="29"/>
        <v>0</v>
      </c>
      <c r="Z56" s="187">
        <f t="shared" si="30"/>
        <v>0</v>
      </c>
      <c r="AA56" s="183">
        <f t="shared" si="31"/>
        <v>0</v>
      </c>
      <c r="AB56" s="187">
        <f t="shared" si="32"/>
        <v>0</v>
      </c>
      <c r="AC56" s="183">
        <f t="shared" si="33"/>
        <v>0</v>
      </c>
      <c r="AD56" s="188">
        <f t="shared" si="34"/>
        <v>0.47916666666424135</v>
      </c>
      <c r="AE56" s="188">
        <f t="shared" si="35"/>
        <v>0.47916666666424135</v>
      </c>
      <c r="AF56" s="188">
        <f t="shared" si="36"/>
        <v>0</v>
      </c>
      <c r="AG56" s="188">
        <f t="shared" si="37"/>
        <v>0</v>
      </c>
    </row>
    <row r="57" spans="2:33" ht="15" customHeight="1" x14ac:dyDescent="0.15">
      <c r="B57" s="174" t="s">
        <v>7</v>
      </c>
      <c r="C57" s="175" t="s">
        <v>13</v>
      </c>
      <c r="D57" s="176" t="str">
        <f t="shared" si="19"/>
        <v>C</v>
      </c>
      <c r="E57" s="177" t="d">
        <v>2021-04-15T17:15:00.000</v>
      </c>
      <c r="F57" s="178" t="s">
        <v>103</v>
      </c>
      <c r="G57" s="179">
        <v>108.628</v>
      </c>
      <c r="H57" s="179">
        <v>108.82</v>
      </c>
      <c r="I57" s="180">
        <f t="shared" si="20"/>
        <v>0.19199999999999307</v>
      </c>
      <c r="J57" s="179">
        <v>107.422</v>
      </c>
      <c r="K57" s="177" t="d">
        <v>2021-04-16T04:03:59.99999994412064550</v>
      </c>
      <c r="L57" s="179">
        <v>108.82</v>
      </c>
      <c r="M57" s="181">
        <f t="shared" si="21"/>
        <v>-0.192</v>
      </c>
      <c r="N57" s="182">
        <f t="shared" si="22"/>
        <v>-1</v>
      </c>
      <c r="O57" s="183">
        <f t="shared" si="23"/>
        <v>0</v>
      </c>
      <c r="P57" s="184">
        <f t="shared" si="24"/>
        <v>0</v>
      </c>
      <c r="Q57" s="184">
        <f t="shared" si="25"/>
        <v>-1</v>
      </c>
      <c r="R57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7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27175</v>
      </c>
      <c r="T57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27597.5</v>
      </c>
      <c r="U57" s="186">
        <f ca="1">IF(Tabla33610673487[[#This Row],[Equity]]&lt;Tabla33610673487[[#This Row],[Equity Peak]],(Tabla33610673487[[#This Row],[Equity Peak]]-Tabla33610673487[[#This Row],[Equity]])/Tabla33610673487[[#This Row],[Equity Peak]],"")</f>
        <v>1.5309357731678594E-2</v>
      </c>
      <c r="V57" s="187">
        <f t="shared" si="26"/>
        <v>-1</v>
      </c>
      <c r="W57" s="187">
        <f t="shared" si="27"/>
        <v>0</v>
      </c>
      <c r="X57" s="187">
        <f t="shared" si="28"/>
        <v>0</v>
      </c>
      <c r="Y57" s="187">
        <f t="shared" si="29"/>
        <v>0</v>
      </c>
      <c r="Z57" s="187">
        <f t="shared" si="30"/>
        <v>0</v>
      </c>
      <c r="AA57" s="183">
        <f t="shared" si="31"/>
        <v>0</v>
      </c>
      <c r="AB57" s="187">
        <f t="shared" si="32"/>
        <v>0</v>
      </c>
      <c r="AC57" s="183">
        <f t="shared" si="33"/>
        <v>0</v>
      </c>
      <c r="AD57" s="188">
        <f t="shared" si="34"/>
        <v>0.45069444444379769</v>
      </c>
      <c r="AE57" s="188">
        <f t="shared" si="35"/>
        <v>0</v>
      </c>
      <c r="AF57" s="188">
        <f t="shared" si="36"/>
        <v>0.45069444444379769</v>
      </c>
      <c r="AG57" s="188">
        <f t="shared" si="37"/>
        <v>0</v>
      </c>
    </row>
    <row r="58" spans="2:33" ht="15" customHeight="1" x14ac:dyDescent="0.15">
      <c r="B58" s="174" t="s">
        <v>7</v>
      </c>
      <c r="C58" s="175" t="s">
        <v>13</v>
      </c>
      <c r="D58" s="176" t="str">
        <f t="shared" si="19"/>
        <v>C</v>
      </c>
      <c r="E58" s="177" t="d">
        <v>2021-04-14T03:00:00.000</v>
      </c>
      <c r="F58" s="178" t="s">
        <v>103</v>
      </c>
      <c r="G58" s="179">
        <v>108.92100000000001</v>
      </c>
      <c r="H58" s="179">
        <v>109.116</v>
      </c>
      <c r="I58" s="180">
        <f t="shared" si="20"/>
        <v>0.19499999999999318</v>
      </c>
      <c r="J58" s="179">
        <v>107.694</v>
      </c>
      <c r="K58" s="177" t="d">
        <v>2021-04-14T10:38:59.99999987427145575</v>
      </c>
      <c r="L58" s="179">
        <v>109.05500000000001</v>
      </c>
      <c r="M58" s="181">
        <f t="shared" si="21"/>
        <v>-0.13400000000000001</v>
      </c>
      <c r="N58" s="182">
        <f t="shared" si="22"/>
        <v>-0.69</v>
      </c>
      <c r="O58" s="183">
        <f t="shared" si="23"/>
        <v>0</v>
      </c>
      <c r="P58" s="184">
        <f t="shared" si="24"/>
        <v>0</v>
      </c>
      <c r="Q58" s="184">
        <f t="shared" si="25"/>
        <v>-0.69</v>
      </c>
      <c r="R58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8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27425</v>
      </c>
      <c r="T58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27597.5</v>
      </c>
      <c r="U58" s="186">
        <f ca="1">IF(Tabla33610673487[[#This Row],[Equity]]&lt;Tabla33610673487[[#This Row],[Equity Peak]],(Tabla33610673487[[#This Row],[Equity Peak]]-Tabla33610673487[[#This Row],[Equity]])/Tabla33610673487[[#This Row],[Equity Peak]],"")</f>
        <v>6.2505661744723254E-3</v>
      </c>
      <c r="V58" s="187">
        <f t="shared" si="26"/>
        <v>-0.69</v>
      </c>
      <c r="W58" s="187">
        <f t="shared" si="27"/>
        <v>0</v>
      </c>
      <c r="X58" s="187">
        <f t="shared" si="28"/>
        <v>0</v>
      </c>
      <c r="Y58" s="187">
        <f t="shared" si="29"/>
        <v>0</v>
      </c>
      <c r="Z58" s="187">
        <f t="shared" si="30"/>
        <v>0</v>
      </c>
      <c r="AA58" s="183">
        <f t="shared" si="31"/>
        <v>0</v>
      </c>
      <c r="AB58" s="187">
        <f t="shared" si="32"/>
        <v>0</v>
      </c>
      <c r="AC58" s="183">
        <f t="shared" si="33"/>
        <v>0</v>
      </c>
      <c r="AD58" s="188">
        <f t="shared" si="34"/>
        <v>0.31874999999854481</v>
      </c>
      <c r="AE58" s="188">
        <f t="shared" si="35"/>
        <v>0</v>
      </c>
      <c r="AF58" s="188">
        <f t="shared" si="36"/>
        <v>0.31874999999854481</v>
      </c>
      <c r="AG58" s="188">
        <f t="shared" si="37"/>
        <v>0</v>
      </c>
    </row>
    <row r="59" spans="2:33" ht="15" customHeight="1" x14ac:dyDescent="0.15">
      <c r="B59" s="174" t="s">
        <v>7</v>
      </c>
      <c r="C59" s="175" t="s">
        <v>15</v>
      </c>
      <c r="D59" s="176" t="str">
        <f t="shared" si="19"/>
        <v>C</v>
      </c>
      <c r="E59" s="177" t="d">
        <v>2021-03-30T04:30:00.000</v>
      </c>
      <c r="F59" s="178" t="s">
        <v>103</v>
      </c>
      <c r="G59" s="179">
        <v>109.922</v>
      </c>
      <c r="H59" s="179">
        <v>109.755</v>
      </c>
      <c r="I59" s="180">
        <f t="shared" si="20"/>
        <v>0.16700000000000159</v>
      </c>
      <c r="J59" s="179">
        <v>110.97199999999999</v>
      </c>
      <c r="K59" s="177" t="d">
        <v>2021-03-31T09:39:00.00000008381903175</v>
      </c>
      <c r="L59" s="179">
        <v>110.66800000000001</v>
      </c>
      <c r="M59" s="181">
        <f t="shared" si="21"/>
        <v>0.746</v>
      </c>
      <c r="N59" s="182">
        <f t="shared" si="22"/>
        <v>4.47</v>
      </c>
      <c r="O59" s="183">
        <f t="shared" si="23"/>
        <v>0</v>
      </c>
      <c r="P59" s="184">
        <f t="shared" si="24"/>
        <v>4.47</v>
      </c>
      <c r="Q59" s="184">
        <f t="shared" si="25"/>
        <v>0</v>
      </c>
      <c r="R59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59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27597.5</v>
      </c>
      <c r="T59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27597.5</v>
      </c>
      <c r="U59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59" s="187">
        <f t="shared" si="26"/>
        <v>4.47</v>
      </c>
      <c r="W59" s="187">
        <f t="shared" si="27"/>
        <v>0</v>
      </c>
      <c r="X59" s="187">
        <f t="shared" si="28"/>
        <v>0</v>
      </c>
      <c r="Y59" s="187">
        <f t="shared" si="29"/>
        <v>0</v>
      </c>
      <c r="Z59" s="187">
        <f t="shared" si="30"/>
        <v>0</v>
      </c>
      <c r="AA59" s="183">
        <f t="shared" si="31"/>
        <v>0</v>
      </c>
      <c r="AB59" s="187">
        <f t="shared" si="32"/>
        <v>0</v>
      </c>
      <c r="AC59" s="183">
        <f t="shared" si="33"/>
        <v>0</v>
      </c>
      <c r="AD59" s="188">
        <f t="shared" si="34"/>
        <v>1.2145833333343035</v>
      </c>
      <c r="AE59" s="188">
        <f t="shared" si="35"/>
        <v>1.2145833333343035</v>
      </c>
      <c r="AF59" s="188">
        <f t="shared" si="36"/>
        <v>0</v>
      </c>
      <c r="AG59" s="188">
        <f t="shared" si="37"/>
        <v>0</v>
      </c>
    </row>
    <row r="60" spans="2:33" ht="15" customHeight="1" x14ac:dyDescent="0.15">
      <c r="B60" s="174" t="s">
        <v>7</v>
      </c>
      <c r="C60" s="175" t="s">
        <v>15</v>
      </c>
      <c r="D60" s="176" t="str">
        <f t="shared" si="19"/>
        <v>C</v>
      </c>
      <c r="E60" s="177" t="d">
        <v>2021-03-26T11:15:00.000</v>
      </c>
      <c r="F60" s="178" t="s">
        <v>103</v>
      </c>
      <c r="G60" s="179">
        <v>109.386</v>
      </c>
      <c r="H60" s="179">
        <v>109.221</v>
      </c>
      <c r="I60" s="180">
        <f t="shared" si="20"/>
        <v>0.16499999999999204</v>
      </c>
      <c r="J60" s="179">
        <v>110.423</v>
      </c>
      <c r="K60" s="177" t="d">
        <v>2021-03-26T18:52:00.00000011175870900</v>
      </c>
      <c r="L60" s="179">
        <v>109.601</v>
      </c>
      <c r="M60" s="181">
        <f t="shared" si="21"/>
        <v>0.215</v>
      </c>
      <c r="N60" s="182">
        <f t="shared" si="22"/>
        <v>1.3</v>
      </c>
      <c r="O60" s="183">
        <f t="shared" si="23"/>
        <v>0</v>
      </c>
      <c r="P60" s="184">
        <f t="shared" si="24"/>
        <v>1.3</v>
      </c>
      <c r="Q60" s="184">
        <f t="shared" si="25"/>
        <v>0</v>
      </c>
      <c r="R60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0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26480</v>
      </c>
      <c r="T60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26480</v>
      </c>
      <c r="U60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60" s="187">
        <f t="shared" si="26"/>
        <v>1.3</v>
      </c>
      <c r="W60" s="187">
        <f t="shared" si="27"/>
        <v>0</v>
      </c>
      <c r="X60" s="187">
        <f t="shared" si="28"/>
        <v>0</v>
      </c>
      <c r="Y60" s="187">
        <f t="shared" si="29"/>
        <v>0</v>
      </c>
      <c r="Z60" s="187">
        <f t="shared" si="30"/>
        <v>0</v>
      </c>
      <c r="AA60" s="183">
        <f t="shared" si="31"/>
        <v>0</v>
      </c>
      <c r="AB60" s="187">
        <f t="shared" si="32"/>
        <v>0</v>
      </c>
      <c r="AC60" s="183">
        <f t="shared" si="33"/>
        <v>0</v>
      </c>
      <c r="AD60" s="188">
        <f t="shared" si="34"/>
        <v>0.31736111111240461</v>
      </c>
      <c r="AE60" s="188">
        <f t="shared" si="35"/>
        <v>0.31736111111240461</v>
      </c>
      <c r="AF60" s="188">
        <f t="shared" si="36"/>
        <v>0</v>
      </c>
      <c r="AG60" s="188">
        <f t="shared" si="37"/>
        <v>0</v>
      </c>
    </row>
    <row r="61" spans="2:33" ht="15" customHeight="1" x14ac:dyDescent="0.15">
      <c r="B61" s="174" t="s">
        <v>7</v>
      </c>
      <c r="C61" s="175" t="s">
        <v>15</v>
      </c>
      <c r="D61" s="176" t="str">
        <f t="shared" si="19"/>
        <v>C</v>
      </c>
      <c r="E61" s="177" t="d">
        <v>2021-03-15T08:45:00.00000020954757600</v>
      </c>
      <c r="F61" s="178" t="s">
        <v>103</v>
      </c>
      <c r="G61" s="179">
        <v>109.256</v>
      </c>
      <c r="H61" s="179">
        <v>109.036</v>
      </c>
      <c r="I61" s="180">
        <f t="shared" si="20"/>
        <v>0.21999999999999886</v>
      </c>
      <c r="J61" s="179">
        <v>110.639</v>
      </c>
      <c r="K61" s="177" t="d">
        <v>2021-03-15T11:51:59.99999969266355025</v>
      </c>
      <c r="L61" s="179">
        <v>109.057</v>
      </c>
      <c r="M61" s="181">
        <f t="shared" si="21"/>
        <v>-0.19900000000000001</v>
      </c>
      <c r="N61" s="182">
        <f t="shared" si="22"/>
        <v>-0.9</v>
      </c>
      <c r="O61" s="183">
        <f t="shared" si="23"/>
        <v>0</v>
      </c>
      <c r="P61" s="184">
        <f t="shared" si="24"/>
        <v>0</v>
      </c>
      <c r="Q61" s="184">
        <f t="shared" si="25"/>
        <v>-0.9</v>
      </c>
      <c r="R61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1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26155</v>
      </c>
      <c r="T61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26380</v>
      </c>
      <c r="U61" s="186">
        <f ca="1">IF(Tabla33610673487[[#This Row],[Equity]]&lt;Tabla33610673487[[#This Row],[Equity Peak]],(Tabla33610673487[[#This Row],[Equity Peak]]-Tabla33610673487[[#This Row],[Equity]])/Tabla33610673487[[#This Row],[Equity Peak]],"")</f>
        <v>8.5291887793783171E-3</v>
      </c>
      <c r="V61" s="187">
        <f t="shared" si="26"/>
        <v>-0.9</v>
      </c>
      <c r="W61" s="187">
        <f t="shared" si="27"/>
        <v>0</v>
      </c>
      <c r="X61" s="187">
        <f t="shared" si="28"/>
        <v>0</v>
      </c>
      <c r="Y61" s="187">
        <f t="shared" si="29"/>
        <v>0</v>
      </c>
      <c r="Z61" s="187">
        <f t="shared" si="30"/>
        <v>0</v>
      </c>
      <c r="AA61" s="183">
        <f t="shared" si="31"/>
        <v>0</v>
      </c>
      <c r="AB61" s="187">
        <f t="shared" si="32"/>
        <v>0</v>
      </c>
      <c r="AC61" s="183">
        <f t="shared" si="33"/>
        <v>0</v>
      </c>
      <c r="AD61" s="188">
        <f t="shared" si="34"/>
        <v>0.12986111110512866</v>
      </c>
      <c r="AE61" s="188">
        <f t="shared" si="35"/>
        <v>0</v>
      </c>
      <c r="AF61" s="188">
        <f t="shared" si="36"/>
        <v>0.12986111110512866</v>
      </c>
      <c r="AG61" s="188">
        <f t="shared" si="37"/>
        <v>0</v>
      </c>
    </row>
    <row r="62" spans="2:33" ht="15" customHeight="1" x14ac:dyDescent="0.15">
      <c r="B62" s="174" t="s">
        <v>7</v>
      </c>
      <c r="C62" s="175" t="s">
        <v>15</v>
      </c>
      <c r="D62" s="176" t="str">
        <f t="shared" si="19"/>
        <v>C</v>
      </c>
      <c r="E62" s="177" t="d">
        <v>2021-03-08T15:00:00.000</v>
      </c>
      <c r="F62" s="178" t="s">
        <v>103</v>
      </c>
      <c r="G62" s="179">
        <v>108.68600000000001</v>
      </c>
      <c r="H62" s="179">
        <v>108.496</v>
      </c>
      <c r="I62" s="180">
        <f t="shared" si="20"/>
        <v>0.19000000000001194</v>
      </c>
      <c r="J62" s="179">
        <v>109.88200000000001</v>
      </c>
      <c r="K62" s="177" t="d">
        <v>2021-03-09T09:36:00.00000012572854425</v>
      </c>
      <c r="L62" s="179">
        <v>108.95</v>
      </c>
      <c r="M62" s="181">
        <f t="shared" si="21"/>
        <v>0.26400000000000001</v>
      </c>
      <c r="N62" s="182">
        <f t="shared" si="22"/>
        <v>1.39</v>
      </c>
      <c r="O62" s="183">
        <f t="shared" si="23"/>
        <v>0</v>
      </c>
      <c r="P62" s="184">
        <f t="shared" si="24"/>
        <v>1.39</v>
      </c>
      <c r="Q62" s="184">
        <f t="shared" si="25"/>
        <v>0</v>
      </c>
      <c r="R62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2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26380</v>
      </c>
      <c r="T62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26380</v>
      </c>
      <c r="U62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62" s="187">
        <f t="shared" si="26"/>
        <v>1.39</v>
      </c>
      <c r="W62" s="187">
        <f t="shared" si="27"/>
        <v>0</v>
      </c>
      <c r="X62" s="187">
        <f t="shared" si="28"/>
        <v>0</v>
      </c>
      <c r="Y62" s="187">
        <f t="shared" si="29"/>
        <v>0</v>
      </c>
      <c r="Z62" s="187">
        <f t="shared" si="30"/>
        <v>0</v>
      </c>
      <c r="AA62" s="183">
        <f t="shared" si="31"/>
        <v>0</v>
      </c>
      <c r="AB62" s="187">
        <f t="shared" si="32"/>
        <v>0</v>
      </c>
      <c r="AC62" s="183">
        <f t="shared" si="33"/>
        <v>0</v>
      </c>
      <c r="AD62" s="188">
        <f t="shared" si="34"/>
        <v>0.77500000000145519</v>
      </c>
      <c r="AE62" s="188">
        <f t="shared" si="35"/>
        <v>0.77500000000145519</v>
      </c>
      <c r="AF62" s="188">
        <f t="shared" si="36"/>
        <v>0</v>
      </c>
      <c r="AG62" s="188">
        <f t="shared" si="37"/>
        <v>0</v>
      </c>
    </row>
    <row r="63" spans="2:33" ht="15" customHeight="1" x14ac:dyDescent="0.15">
      <c r="B63" s="174" t="s">
        <v>7</v>
      </c>
      <c r="C63" s="175" t="s">
        <v>15</v>
      </c>
      <c r="D63" s="176" t="str">
        <f t="shared" si="19"/>
        <v>C</v>
      </c>
      <c r="E63" s="177" t="d">
        <v>2021-03-04T10:15:00.00000020954757600</v>
      </c>
      <c r="F63" s="178" t="s">
        <v>103</v>
      </c>
      <c r="G63" s="179">
        <v>107.175</v>
      </c>
      <c r="H63" s="179">
        <v>106.97799999999999</v>
      </c>
      <c r="I63" s="180">
        <f t="shared" si="20"/>
        <v>0.19700000000000273</v>
      </c>
      <c r="J63" s="179">
        <v>108.41200000000001</v>
      </c>
      <c r="K63" s="177" t="d">
        <v>2021-03-05T10:38:59.99999987427145575</v>
      </c>
      <c r="L63" s="179">
        <v>108.41200000000001</v>
      </c>
      <c r="M63" s="181">
        <f t="shared" si="21"/>
        <v>1.2370000000000001</v>
      </c>
      <c r="N63" s="182">
        <f t="shared" si="22"/>
        <v>6.28</v>
      </c>
      <c r="O63" s="183">
        <f t="shared" si="23"/>
        <v>0</v>
      </c>
      <c r="P63" s="184">
        <f t="shared" si="24"/>
        <v>6.28</v>
      </c>
      <c r="Q63" s="184">
        <f t="shared" si="25"/>
        <v>0</v>
      </c>
      <c r="R63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3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26032.5</v>
      </c>
      <c r="T63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26032.5</v>
      </c>
      <c r="U63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63" s="187">
        <f t="shared" si="26"/>
        <v>6.28</v>
      </c>
      <c r="W63" s="187">
        <f t="shared" si="27"/>
        <v>0</v>
      </c>
      <c r="X63" s="187">
        <f t="shared" si="28"/>
        <v>0</v>
      </c>
      <c r="Y63" s="187">
        <f t="shared" si="29"/>
        <v>0</v>
      </c>
      <c r="Z63" s="187">
        <f t="shared" si="30"/>
        <v>0</v>
      </c>
      <c r="AA63" s="183">
        <f t="shared" si="31"/>
        <v>0</v>
      </c>
      <c r="AB63" s="187">
        <f t="shared" si="32"/>
        <v>0</v>
      </c>
      <c r="AC63" s="183">
        <f t="shared" si="33"/>
        <v>0</v>
      </c>
      <c r="AD63" s="188">
        <f t="shared" si="34"/>
        <v>1.0166666666627862</v>
      </c>
      <c r="AE63" s="188">
        <f t="shared" si="35"/>
        <v>1.0166666666627862</v>
      </c>
      <c r="AF63" s="188">
        <f t="shared" si="36"/>
        <v>0</v>
      </c>
      <c r="AG63" s="188">
        <f t="shared" si="37"/>
        <v>0</v>
      </c>
    </row>
    <row r="64" spans="2:33" ht="15" customHeight="1" x14ac:dyDescent="0.15">
      <c r="B64" s="174" t="s">
        <v>7</v>
      </c>
      <c r="C64" s="175" t="s">
        <v>15</v>
      </c>
      <c r="D64" s="176" t="str">
        <f t="shared" si="19"/>
        <v>C</v>
      </c>
      <c r="E64" s="177" t="d">
        <v>2021-03-01T20:00:00.00000020954757600</v>
      </c>
      <c r="F64" s="178" t="s">
        <v>103</v>
      </c>
      <c r="G64" s="179">
        <v>106.783</v>
      </c>
      <c r="H64" s="179">
        <v>106.557</v>
      </c>
      <c r="I64" s="180">
        <f t="shared" si="20"/>
        <v>0.22599999999999909</v>
      </c>
      <c r="J64" s="179">
        <v>108.20099999999999</v>
      </c>
      <c r="K64" s="177" t="d">
        <v>2021-03-03T18:08:59.99999987427145575</v>
      </c>
      <c r="L64" s="179">
        <v>106.875</v>
      </c>
      <c r="M64" s="181">
        <f t="shared" si="21"/>
        <v>9.1999999999999998E-2</v>
      </c>
      <c r="N64" s="182">
        <f t="shared" si="22"/>
        <v>0.41</v>
      </c>
      <c r="O64" s="183">
        <f t="shared" si="23"/>
        <v>0</v>
      </c>
      <c r="P64" s="184">
        <f t="shared" si="24"/>
        <v>0.41</v>
      </c>
      <c r="Q64" s="184">
        <f t="shared" si="25"/>
        <v>0</v>
      </c>
      <c r="R64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4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24462.5</v>
      </c>
      <c r="T64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25265</v>
      </c>
      <c r="U64" s="186">
        <f ca="1">IF(Tabla33610673487[[#This Row],[Equity]]&lt;Tabla33610673487[[#This Row],[Equity Peak]],(Tabla33610673487[[#This Row],[Equity Peak]]-Tabla33610673487[[#This Row],[Equity]])/Tabla33610673487[[#This Row],[Equity Peak]],"")</f>
        <v>3.1763308925390858E-2</v>
      </c>
      <c r="V64" s="187">
        <f t="shared" si="26"/>
        <v>0.41</v>
      </c>
      <c r="W64" s="187">
        <f t="shared" si="27"/>
        <v>0</v>
      </c>
      <c r="X64" s="187">
        <f t="shared" si="28"/>
        <v>0</v>
      </c>
      <c r="Y64" s="187">
        <f t="shared" si="29"/>
        <v>0</v>
      </c>
      <c r="Z64" s="187">
        <f t="shared" si="30"/>
        <v>0</v>
      </c>
      <c r="AA64" s="183">
        <f t="shared" si="31"/>
        <v>0</v>
      </c>
      <c r="AB64" s="187">
        <f t="shared" si="32"/>
        <v>0</v>
      </c>
      <c r="AC64" s="183">
        <f t="shared" si="33"/>
        <v>0</v>
      </c>
      <c r="AD64" s="188">
        <f t="shared" si="34"/>
        <v>1.9229166666627862</v>
      </c>
      <c r="AE64" s="188">
        <f t="shared" si="35"/>
        <v>1.9229166666627862</v>
      </c>
      <c r="AF64" s="188">
        <f t="shared" si="36"/>
        <v>0</v>
      </c>
      <c r="AG64" s="188">
        <f t="shared" si="37"/>
        <v>0</v>
      </c>
    </row>
    <row r="65" spans="2:33" ht="15" customHeight="1" x14ac:dyDescent="0.15">
      <c r="B65" s="174" t="s">
        <v>7</v>
      </c>
      <c r="C65" s="175" t="s">
        <v>15</v>
      </c>
      <c r="D65" s="176" t="str">
        <f t="shared" si="19"/>
        <v>C</v>
      </c>
      <c r="E65" s="177" t="d">
        <v>2021-03-01T15:00:00.000</v>
      </c>
      <c r="F65" s="178" t="s">
        <v>103</v>
      </c>
      <c r="G65" s="179">
        <v>106.758</v>
      </c>
      <c r="H65" s="179">
        <v>106.536</v>
      </c>
      <c r="I65" s="180">
        <f t="shared" si="20"/>
        <v>0.2219999999999942</v>
      </c>
      <c r="J65" s="179">
        <v>108.154</v>
      </c>
      <c r="K65" s="177" t="d">
        <v>2021-03-01T17:16:00.00000019557774075</v>
      </c>
      <c r="L65" s="179">
        <v>106.536</v>
      </c>
      <c r="M65" s="181">
        <f t="shared" si="21"/>
        <v>-0.222</v>
      </c>
      <c r="N65" s="182">
        <f t="shared" si="22"/>
        <v>-1</v>
      </c>
      <c r="O65" s="183">
        <f t="shared" si="23"/>
        <v>0</v>
      </c>
      <c r="P65" s="184">
        <f t="shared" si="24"/>
        <v>0</v>
      </c>
      <c r="Q65" s="184">
        <f t="shared" si="25"/>
        <v>-1</v>
      </c>
      <c r="R65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5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24360</v>
      </c>
      <c r="T65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25265</v>
      </c>
      <c r="U65" s="186">
        <f ca="1">IF(Tabla33610673487[[#This Row],[Equity]]&lt;Tabla33610673487[[#This Row],[Equity Peak]],(Tabla33610673487[[#This Row],[Equity Peak]]-Tabla33610673487[[#This Row],[Equity]])/Tabla33610673487[[#This Row],[Equity Peak]],"")</f>
        <v>3.5820304769443895E-2</v>
      </c>
      <c r="V65" s="187">
        <f t="shared" si="26"/>
        <v>-1</v>
      </c>
      <c r="W65" s="187">
        <f t="shared" si="27"/>
        <v>0</v>
      </c>
      <c r="X65" s="187">
        <f t="shared" si="28"/>
        <v>0</v>
      </c>
      <c r="Y65" s="187">
        <f t="shared" si="29"/>
        <v>0</v>
      </c>
      <c r="Z65" s="187">
        <f t="shared" si="30"/>
        <v>0</v>
      </c>
      <c r="AA65" s="183">
        <f t="shared" si="31"/>
        <v>0</v>
      </c>
      <c r="AB65" s="187">
        <f t="shared" si="32"/>
        <v>0</v>
      </c>
      <c r="AC65" s="183">
        <f t="shared" si="33"/>
        <v>0</v>
      </c>
      <c r="AD65" s="188">
        <f t="shared" si="34"/>
        <v>9.4444444446708076E-2</v>
      </c>
      <c r="AE65" s="188">
        <f t="shared" si="35"/>
        <v>0</v>
      </c>
      <c r="AF65" s="188">
        <f t="shared" si="36"/>
        <v>9.4444444446708076E-2</v>
      </c>
      <c r="AG65" s="188">
        <f t="shared" si="37"/>
        <v>0</v>
      </c>
    </row>
    <row r="66" spans="2:33" ht="15" customHeight="1" x14ac:dyDescent="0.15">
      <c r="B66" s="174" t="s">
        <v>7</v>
      </c>
      <c r="C66" s="175" t="s">
        <v>15</v>
      </c>
      <c r="D66" s="176" t="str">
        <f t="shared" si="19"/>
        <v>C</v>
      </c>
      <c r="E66" s="177" t="d">
        <v>2021-02-26T17:45:00.00000020954757600</v>
      </c>
      <c r="F66" s="178" t="s">
        <v>103</v>
      </c>
      <c r="G66" s="179">
        <v>106.553</v>
      </c>
      <c r="H66" s="179">
        <v>106.331</v>
      </c>
      <c r="I66" s="180">
        <f t="shared" si="20"/>
        <v>0.2219999999999942</v>
      </c>
      <c r="J66" s="179">
        <v>107.949</v>
      </c>
      <c r="K66" s="177" t="d">
        <v>2021-03-01T02:36:59.99999990221113300</v>
      </c>
      <c r="L66" s="179">
        <v>106.402</v>
      </c>
      <c r="M66" s="181">
        <f t="shared" si="21"/>
        <v>-0.151</v>
      </c>
      <c r="N66" s="182">
        <f t="shared" si="22"/>
        <v>-0.68</v>
      </c>
      <c r="O66" s="183">
        <f t="shared" si="23"/>
        <v>0</v>
      </c>
      <c r="P66" s="184">
        <f t="shared" si="24"/>
        <v>0</v>
      </c>
      <c r="Q66" s="184">
        <f t="shared" si="25"/>
        <v>-0.68</v>
      </c>
      <c r="R66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6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24610</v>
      </c>
      <c r="T66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25265</v>
      </c>
      <c r="U66" s="186">
        <f ca="1">IF(Tabla33610673487[[#This Row],[Equity]]&lt;Tabla33610673487[[#This Row],[Equity Peak]],(Tabla33610673487[[#This Row],[Equity Peak]]-Tabla33610673487[[#This Row],[Equity]])/Tabla33610673487[[#This Row],[Equity Peak]],"")</f>
        <v>2.5925192954680387E-2</v>
      </c>
      <c r="V66" s="187">
        <f t="shared" si="26"/>
        <v>-0.68</v>
      </c>
      <c r="W66" s="187">
        <f t="shared" si="27"/>
        <v>0</v>
      </c>
      <c r="X66" s="187">
        <f t="shared" si="28"/>
        <v>0</v>
      </c>
      <c r="Y66" s="187">
        <f t="shared" si="29"/>
        <v>0</v>
      </c>
      <c r="Z66" s="187">
        <f t="shared" si="30"/>
        <v>0</v>
      </c>
      <c r="AA66" s="183">
        <f t="shared" si="31"/>
        <v>0</v>
      </c>
      <c r="AB66" s="187">
        <f t="shared" si="32"/>
        <v>0</v>
      </c>
      <c r="AC66" s="183">
        <f t="shared" si="33"/>
        <v>0</v>
      </c>
      <c r="AD66" s="188">
        <f t="shared" si="34"/>
        <v>2.3694444444408873</v>
      </c>
      <c r="AE66" s="188">
        <f t="shared" si="35"/>
        <v>0</v>
      </c>
      <c r="AF66" s="188">
        <f t="shared" si="36"/>
        <v>2.3694444444408873</v>
      </c>
      <c r="AG66" s="188">
        <f t="shared" si="37"/>
        <v>0</v>
      </c>
    </row>
    <row r="67" spans="2:33" ht="15" customHeight="1" x14ac:dyDescent="0.15">
      <c r="B67" s="174" t="s">
        <v>7</v>
      </c>
      <c r="C67" s="175" t="s">
        <v>15</v>
      </c>
      <c r="D67" s="176" t="str">
        <f t="shared" si="19"/>
        <v>C</v>
      </c>
      <c r="E67" s="177" t="d">
        <v>2021-02-26T12:00:00.000</v>
      </c>
      <c r="F67" s="178" t="s">
        <v>103</v>
      </c>
      <c r="G67" s="179">
        <v>106.485</v>
      </c>
      <c r="H67" s="179">
        <v>106.268</v>
      </c>
      <c r="I67" s="180">
        <f t="shared" si="20"/>
        <v>0.21699999999999875</v>
      </c>
      <c r="J67" s="179">
        <v>107.846</v>
      </c>
      <c r="K67" s="177" t="d">
        <v>2021-02-26T14:16:00.00000019557774075</v>
      </c>
      <c r="L67" s="179">
        <v>106.268</v>
      </c>
      <c r="M67" s="181">
        <f t="shared" si="21"/>
        <v>-0.217</v>
      </c>
      <c r="N67" s="182">
        <f t="shared" si="22"/>
        <v>-1</v>
      </c>
      <c r="O67" s="183">
        <f t="shared" si="23"/>
        <v>0</v>
      </c>
      <c r="P67" s="184">
        <f t="shared" si="24"/>
        <v>0</v>
      </c>
      <c r="Q67" s="184">
        <f t="shared" si="25"/>
        <v>-1</v>
      </c>
      <c r="R67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7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24780</v>
      </c>
      <c r="T67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25265</v>
      </c>
      <c r="U67" s="186">
        <f ca="1">IF(Tabla33610673487[[#This Row],[Equity]]&lt;Tabla33610673487[[#This Row],[Equity Peak]],(Tabla33610673487[[#This Row],[Equity Peak]]-Tabla33610673487[[#This Row],[Equity]])/Tabla33610673487[[#This Row],[Equity Peak]],"")</f>
        <v>1.9196516920641202E-2</v>
      </c>
      <c r="V67" s="187">
        <f t="shared" si="26"/>
        <v>-1</v>
      </c>
      <c r="W67" s="187">
        <f t="shared" si="27"/>
        <v>0</v>
      </c>
      <c r="X67" s="187">
        <f t="shared" si="28"/>
        <v>0</v>
      </c>
      <c r="Y67" s="187">
        <f t="shared" si="29"/>
        <v>0</v>
      </c>
      <c r="Z67" s="187">
        <f t="shared" si="30"/>
        <v>0</v>
      </c>
      <c r="AA67" s="183">
        <f t="shared" si="31"/>
        <v>0</v>
      </c>
      <c r="AB67" s="187">
        <f t="shared" si="32"/>
        <v>0</v>
      </c>
      <c r="AC67" s="183">
        <f t="shared" si="33"/>
        <v>0</v>
      </c>
      <c r="AD67" s="188">
        <f t="shared" si="34"/>
        <v>9.4444444446708076E-2</v>
      </c>
      <c r="AE67" s="188">
        <f t="shared" si="35"/>
        <v>0</v>
      </c>
      <c r="AF67" s="188">
        <f t="shared" si="36"/>
        <v>9.4444444446708076E-2</v>
      </c>
      <c r="AG67" s="188">
        <f t="shared" si="37"/>
        <v>0</v>
      </c>
    </row>
    <row r="68" spans="2:33" ht="15" customHeight="1" x14ac:dyDescent="0.15">
      <c r="B68" s="174" t="s">
        <v>7</v>
      </c>
      <c r="C68" s="175" t="s">
        <v>15</v>
      </c>
      <c r="D68" s="176" t="str">
        <f t="shared" si="19"/>
        <v>C</v>
      </c>
      <c r="E68" s="177" t="d">
        <v>2021-02-25T18:00:00.000</v>
      </c>
      <c r="F68" s="178" t="s">
        <v>103</v>
      </c>
      <c r="G68" s="179">
        <v>106.25</v>
      </c>
      <c r="H68" s="179">
        <v>106.05</v>
      </c>
      <c r="I68" s="180">
        <f t="shared" si="20"/>
        <v>0.20000000000000284</v>
      </c>
      <c r="J68" s="179">
        <v>107.509</v>
      </c>
      <c r="K68" s="177" t="d">
        <v>2021-02-25T20:39:00.00000029336660775</v>
      </c>
      <c r="L68" s="179">
        <v>106.062</v>
      </c>
      <c r="M68" s="181">
        <f t="shared" si="21"/>
        <v>-0.188</v>
      </c>
      <c r="N68" s="182">
        <f t="shared" si="22"/>
        <v>-0.94</v>
      </c>
      <c r="O68" s="183">
        <f t="shared" si="23"/>
        <v>0</v>
      </c>
      <c r="P68" s="184">
        <f t="shared" si="24"/>
        <v>0</v>
      </c>
      <c r="Q68" s="184">
        <f t="shared" si="25"/>
        <v>-0.94</v>
      </c>
      <c r="R68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8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25030</v>
      </c>
      <c r="T68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25265</v>
      </c>
      <c r="U68" s="186">
        <f ca="1">IF(Tabla33610673487[[#This Row],[Equity]]&lt;Tabla33610673487[[#This Row],[Equity Peak]],(Tabla33610673487[[#This Row],[Equity Peak]]-Tabla33610673487[[#This Row],[Equity]])/Tabla33610673487[[#This Row],[Equity Peak]],"")</f>
        <v>9.3014051058776959E-3</v>
      </c>
      <c r="V68" s="187">
        <f t="shared" si="26"/>
        <v>-0.94</v>
      </c>
      <c r="W68" s="187">
        <f t="shared" si="27"/>
        <v>0</v>
      </c>
      <c r="X68" s="187">
        <f t="shared" si="28"/>
        <v>0</v>
      </c>
      <c r="Y68" s="187">
        <f t="shared" si="29"/>
        <v>0</v>
      </c>
      <c r="Z68" s="187">
        <f t="shared" si="30"/>
        <v>0</v>
      </c>
      <c r="AA68" s="183">
        <f t="shared" si="31"/>
        <v>0</v>
      </c>
      <c r="AB68" s="187">
        <f t="shared" si="32"/>
        <v>0</v>
      </c>
      <c r="AC68" s="183">
        <f t="shared" si="33"/>
        <v>0</v>
      </c>
      <c r="AD68" s="188">
        <f t="shared" si="34"/>
        <v>0.11041666667006211</v>
      </c>
      <c r="AE68" s="188">
        <f t="shared" si="35"/>
        <v>0</v>
      </c>
      <c r="AF68" s="188">
        <f t="shared" si="36"/>
        <v>0.11041666667006211</v>
      </c>
      <c r="AG68" s="188">
        <f t="shared" si="37"/>
        <v>0</v>
      </c>
    </row>
    <row r="69" spans="2:33" ht="15" customHeight="1" x14ac:dyDescent="0.15">
      <c r="B69" s="174" t="s">
        <v>7</v>
      </c>
      <c r="C69" s="175" t="s">
        <v>15</v>
      </c>
      <c r="D69" s="176" t="str">
        <f t="shared" si="19"/>
        <v>C</v>
      </c>
      <c r="E69" s="177" t="d">
        <v>2021-02-16T16:30:00.000</v>
      </c>
      <c r="F69" s="178" t="s">
        <v>103</v>
      </c>
      <c r="G69" s="179">
        <v>105.78100000000001</v>
      </c>
      <c r="H69" s="179">
        <v>105.63500000000001</v>
      </c>
      <c r="I69" s="180">
        <f t="shared" si="20"/>
        <v>0.1460000000000008</v>
      </c>
      <c r="J69" s="179">
        <v>106.697</v>
      </c>
      <c r="K69" s="177" t="d">
        <v>2021-02-17T03:53:59.99999987427145575</v>
      </c>
      <c r="L69" s="179">
        <v>106.002</v>
      </c>
      <c r="M69" s="181">
        <f t="shared" si="21"/>
        <v>0.221</v>
      </c>
      <c r="N69" s="182">
        <f t="shared" si="22"/>
        <v>1.51</v>
      </c>
      <c r="O69" s="183">
        <f t="shared" si="23"/>
        <v>0</v>
      </c>
      <c r="P69" s="184">
        <f t="shared" si="24"/>
        <v>1.51</v>
      </c>
      <c r="Q69" s="184">
        <f t="shared" si="25"/>
        <v>0</v>
      </c>
      <c r="R69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69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25265</v>
      </c>
      <c r="T69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25265</v>
      </c>
      <c r="U69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69" s="187">
        <f t="shared" si="26"/>
        <v>1.51</v>
      </c>
      <c r="W69" s="187">
        <f t="shared" si="27"/>
        <v>0</v>
      </c>
      <c r="X69" s="187">
        <f t="shared" si="28"/>
        <v>0</v>
      </c>
      <c r="Y69" s="187">
        <f t="shared" si="29"/>
        <v>0</v>
      </c>
      <c r="Z69" s="187">
        <f t="shared" si="30"/>
        <v>0</v>
      </c>
      <c r="AA69" s="183">
        <f t="shared" si="31"/>
        <v>0</v>
      </c>
      <c r="AB69" s="187">
        <f t="shared" si="32"/>
        <v>0</v>
      </c>
      <c r="AC69" s="183">
        <f t="shared" si="33"/>
        <v>0</v>
      </c>
      <c r="AD69" s="188">
        <f t="shared" si="34"/>
        <v>0.47499999999854481</v>
      </c>
      <c r="AE69" s="188">
        <f t="shared" si="35"/>
        <v>0.47499999999854481</v>
      </c>
      <c r="AF69" s="188">
        <f t="shared" si="36"/>
        <v>0</v>
      </c>
      <c r="AG69" s="188">
        <f t="shared" si="37"/>
        <v>0</v>
      </c>
    </row>
    <row r="70" spans="2:33" ht="15" customHeight="1" x14ac:dyDescent="0.15">
      <c r="B70" s="174" t="s">
        <v>7</v>
      </c>
      <c r="C70" s="175" t="s">
        <v>15</v>
      </c>
      <c r="D70" s="176" t="str">
        <f t="shared" si="19"/>
        <v>C</v>
      </c>
      <c r="E70" s="177" t="d">
        <v>2021-02-05T13:15:00.00000020954757600</v>
      </c>
      <c r="F70" s="178" t="s">
        <v>103</v>
      </c>
      <c r="G70" s="179">
        <v>105.645</v>
      </c>
      <c r="H70" s="179">
        <v>105.511</v>
      </c>
      <c r="I70" s="180">
        <f t="shared" si="20"/>
        <v>0.13400000000000034</v>
      </c>
      <c r="J70" s="179">
        <v>106.49</v>
      </c>
      <c r="K70" s="177" t="d">
        <v>2021-02-05T15:39:00.00000008381903175</v>
      </c>
      <c r="L70" s="179">
        <v>105.58</v>
      </c>
      <c r="M70" s="181">
        <f t="shared" si="21"/>
        <v>-6.5000000000000002E-2</v>
      </c>
      <c r="N70" s="182">
        <f t="shared" si="22"/>
        <v>-0.49</v>
      </c>
      <c r="O70" s="183">
        <f t="shared" si="23"/>
        <v>0</v>
      </c>
      <c r="P70" s="184">
        <f t="shared" si="24"/>
        <v>0</v>
      </c>
      <c r="Q70" s="184">
        <f t="shared" si="25"/>
        <v>-0.49</v>
      </c>
      <c r="R70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70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24887.5</v>
      </c>
      <c r="T70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25010</v>
      </c>
      <c r="U70" s="186">
        <f ca="1">IF(Tabla33610673487[[#This Row],[Equity]]&lt;Tabla33610673487[[#This Row],[Equity Peak]],(Tabla33610673487[[#This Row],[Equity Peak]]-Tabla33610673487[[#This Row],[Equity]])/Tabla33610673487[[#This Row],[Equity Peak]],"")</f>
        <v>4.8980407836865256E-3</v>
      </c>
      <c r="V70" s="187">
        <f t="shared" si="26"/>
        <v>-0.49</v>
      </c>
      <c r="W70" s="187">
        <f t="shared" si="27"/>
        <v>0</v>
      </c>
      <c r="X70" s="187">
        <f t="shared" si="28"/>
        <v>0</v>
      </c>
      <c r="Y70" s="187">
        <f t="shared" si="29"/>
        <v>0</v>
      </c>
      <c r="Z70" s="187">
        <f t="shared" si="30"/>
        <v>0</v>
      </c>
      <c r="AA70" s="183">
        <f t="shared" si="31"/>
        <v>0</v>
      </c>
      <c r="AB70" s="187">
        <f t="shared" si="32"/>
        <v>0</v>
      </c>
      <c r="AC70" s="183">
        <f t="shared" si="33"/>
        <v>0</v>
      </c>
      <c r="AD70" s="188">
        <f t="shared" si="34"/>
        <v>9.9999999998544808E-2</v>
      </c>
      <c r="AE70" s="188">
        <f t="shared" si="35"/>
        <v>0</v>
      </c>
      <c r="AF70" s="188">
        <f t="shared" si="36"/>
        <v>9.9999999998544808E-2</v>
      </c>
      <c r="AG70" s="188">
        <f t="shared" si="37"/>
        <v>0</v>
      </c>
    </row>
    <row r="71" spans="2:33" ht="15" customHeight="1" x14ac:dyDescent="0.15">
      <c r="B71" s="174" t="s">
        <v>7</v>
      </c>
      <c r="C71" s="175" t="s">
        <v>15</v>
      </c>
      <c r="D71" s="176" t="str">
        <f t="shared" si="19"/>
        <v>C</v>
      </c>
      <c r="E71" s="177" t="d">
        <v>2021-02-04T07:30:00.000</v>
      </c>
      <c r="F71" s="178" t="s">
        <v>103</v>
      </c>
      <c r="G71" s="179">
        <v>105.18300000000001</v>
      </c>
      <c r="H71" s="179">
        <v>105.039</v>
      </c>
      <c r="I71" s="180">
        <f t="shared" si="20"/>
        <v>0.14400000000000546</v>
      </c>
      <c r="J71" s="179">
        <v>106.08799999999999</v>
      </c>
      <c r="K71" s="177" t="d">
        <v>2021-02-05T10:15:00.00000020954757600</v>
      </c>
      <c r="L71" s="179">
        <v>105.44499999999999</v>
      </c>
      <c r="M71" s="181">
        <f t="shared" si="21"/>
        <v>0.26200000000000001</v>
      </c>
      <c r="N71" s="182">
        <f t="shared" si="22"/>
        <v>1.82</v>
      </c>
      <c r="O71" s="183">
        <f t="shared" si="23"/>
        <v>0</v>
      </c>
      <c r="P71" s="184">
        <f t="shared" si="24"/>
        <v>1.82</v>
      </c>
      <c r="Q71" s="184">
        <f t="shared" si="25"/>
        <v>0</v>
      </c>
      <c r="R71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71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25010</v>
      </c>
      <c r="T71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25010</v>
      </c>
      <c r="U71" s="186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71" s="187">
        <f t="shared" si="26"/>
        <v>1.82</v>
      </c>
      <c r="W71" s="187">
        <f t="shared" si="27"/>
        <v>0</v>
      </c>
      <c r="X71" s="187">
        <f t="shared" si="28"/>
        <v>0</v>
      </c>
      <c r="Y71" s="187">
        <f t="shared" si="29"/>
        <v>0</v>
      </c>
      <c r="Z71" s="187">
        <f t="shared" si="30"/>
        <v>0</v>
      </c>
      <c r="AA71" s="183">
        <f t="shared" si="31"/>
        <v>0</v>
      </c>
      <c r="AB71" s="187">
        <f t="shared" si="32"/>
        <v>0</v>
      </c>
      <c r="AC71" s="183">
        <f t="shared" si="33"/>
        <v>0</v>
      </c>
      <c r="AD71" s="188">
        <f t="shared" si="34"/>
        <v>1.1145833333357587</v>
      </c>
      <c r="AE71" s="188">
        <f t="shared" si="35"/>
        <v>1.1145833333357587</v>
      </c>
      <c r="AF71" s="188">
        <f t="shared" si="36"/>
        <v>0</v>
      </c>
      <c r="AG71" s="188">
        <f t="shared" si="37"/>
        <v>0</v>
      </c>
    </row>
    <row r="72" spans="2:33" ht="15" customHeight="1" x14ac:dyDescent="0.15">
      <c r="B72" s="174" t="s">
        <v>7</v>
      </c>
      <c r="C72" s="175" t="s">
        <v>15</v>
      </c>
      <c r="D72" s="176" t="str">
        <f t="shared" si="19"/>
        <v>C</v>
      </c>
      <c r="E72" s="177" t="d">
        <v>2021-02-01T15:30:00.00000020954757600</v>
      </c>
      <c r="F72" s="178" t="s">
        <v>103</v>
      </c>
      <c r="G72" s="179">
        <v>104.974</v>
      </c>
      <c r="H72" s="179">
        <v>104.822</v>
      </c>
      <c r="I72" s="180">
        <f t="shared" si="20"/>
        <v>0.15200000000000102</v>
      </c>
      <c r="J72" s="179">
        <v>105.92700000000001</v>
      </c>
      <c r="K72" s="177" t="d">
        <v>2021-02-02T23:51:59.99999969266355025</v>
      </c>
      <c r="L72" s="179">
        <v>104.952</v>
      </c>
      <c r="M72" s="181">
        <f t="shared" si="21"/>
        <v>-2.1999999999999999E-2</v>
      </c>
      <c r="N72" s="182">
        <f t="shared" si="22"/>
        <v>-0.14000000000000001</v>
      </c>
      <c r="O72" s="183">
        <f t="shared" si="23"/>
        <v>0</v>
      </c>
      <c r="P72" s="184">
        <f t="shared" si="24"/>
        <v>0</v>
      </c>
      <c r="Q72" s="184">
        <f t="shared" si="25"/>
        <v>-0.14000000000000001</v>
      </c>
      <c r="R72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72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24555</v>
      </c>
      <c r="T72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25000</v>
      </c>
      <c r="U72" s="186">
        <f ca="1">IF(Tabla33610673487[[#This Row],[Equity]]&lt;Tabla33610673487[[#This Row],[Equity Peak]],(Tabla33610673487[[#This Row],[Equity Peak]]-Tabla33610673487[[#This Row],[Equity]])/Tabla33610673487[[#This Row],[Equity Peak]],"")</f>
        <v>1.78E-2</v>
      </c>
      <c r="V72" s="187">
        <f t="shared" si="26"/>
        <v>-0.14000000000000001</v>
      </c>
      <c r="W72" s="187">
        <f t="shared" si="27"/>
        <v>0</v>
      </c>
      <c r="X72" s="187">
        <f t="shared" si="28"/>
        <v>0</v>
      </c>
      <c r="Y72" s="187">
        <f t="shared" si="29"/>
        <v>0</v>
      </c>
      <c r="Z72" s="187">
        <f t="shared" si="30"/>
        <v>0</v>
      </c>
      <c r="AA72" s="183">
        <f t="shared" si="31"/>
        <v>0</v>
      </c>
      <c r="AB72" s="187">
        <f t="shared" si="32"/>
        <v>0</v>
      </c>
      <c r="AC72" s="183">
        <f t="shared" si="33"/>
        <v>0</v>
      </c>
      <c r="AD72" s="188">
        <f t="shared" si="34"/>
        <v>1.3486111111051287</v>
      </c>
      <c r="AE72" s="188">
        <f t="shared" si="35"/>
        <v>0</v>
      </c>
      <c r="AF72" s="188">
        <f t="shared" si="36"/>
        <v>1.3486111111051287</v>
      </c>
      <c r="AG72" s="188">
        <f t="shared" si="37"/>
        <v>0</v>
      </c>
    </row>
    <row r="73" spans="2:33" ht="15" customHeight="1" x14ac:dyDescent="0.15">
      <c r="B73" s="174" t="s">
        <v>7</v>
      </c>
      <c r="C73" s="175" t="s">
        <v>15</v>
      </c>
      <c r="D73" s="176" t="str">
        <f t="shared" si="19"/>
        <v>C</v>
      </c>
      <c r="E73" s="177" t="d">
        <v>2021-01-29T02:45:00.00000020954757600</v>
      </c>
      <c r="F73" s="178" t="s">
        <v>103</v>
      </c>
      <c r="G73" s="179">
        <v>104.47199999999999</v>
      </c>
      <c r="H73" s="179">
        <v>104.336</v>
      </c>
      <c r="I73" s="180">
        <f t="shared" si="20"/>
        <v>0.13599999999999568</v>
      </c>
      <c r="J73" s="179">
        <v>105.324</v>
      </c>
      <c r="K73" s="177" t="d">
        <v>2021-01-29T14:06:00.00000012572854425</v>
      </c>
      <c r="L73" s="179">
        <v>104.715</v>
      </c>
      <c r="M73" s="181">
        <f t="shared" si="21"/>
        <v>0.24299999999999999</v>
      </c>
      <c r="N73" s="182">
        <f t="shared" si="22"/>
        <v>1.79</v>
      </c>
      <c r="O73" s="183">
        <f t="shared" si="23"/>
        <v>0</v>
      </c>
      <c r="P73" s="184">
        <f t="shared" si="24"/>
        <v>1.79</v>
      </c>
      <c r="Q73" s="184">
        <f t="shared" si="25"/>
        <v>0</v>
      </c>
      <c r="R73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73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24590</v>
      </c>
      <c r="T73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25000</v>
      </c>
      <c r="U73" s="186">
        <f ca="1">IF(Tabla33610673487[[#This Row],[Equity]]&lt;Tabla33610673487[[#This Row],[Equity Peak]],(Tabla33610673487[[#This Row],[Equity Peak]]-Tabla33610673487[[#This Row],[Equity]])/Tabla33610673487[[#This Row],[Equity Peak]],"")</f>
        <v>1.6400000000000001E-2</v>
      </c>
      <c r="V73" s="187">
        <f t="shared" si="26"/>
        <v>1.79</v>
      </c>
      <c r="W73" s="187">
        <f t="shared" si="27"/>
        <v>0</v>
      </c>
      <c r="X73" s="187">
        <f t="shared" si="28"/>
        <v>0</v>
      </c>
      <c r="Y73" s="187">
        <f t="shared" si="29"/>
        <v>0</v>
      </c>
      <c r="Z73" s="187">
        <f t="shared" si="30"/>
        <v>0</v>
      </c>
      <c r="AA73" s="183">
        <f t="shared" si="31"/>
        <v>0</v>
      </c>
      <c r="AB73" s="187">
        <f t="shared" si="32"/>
        <v>0</v>
      </c>
      <c r="AC73" s="183">
        <f t="shared" si="33"/>
        <v>0</v>
      </c>
      <c r="AD73" s="188">
        <f t="shared" si="34"/>
        <v>0.47291666666569654</v>
      </c>
      <c r="AE73" s="188">
        <f t="shared" si="35"/>
        <v>0.47291666666569654</v>
      </c>
      <c r="AF73" s="188">
        <f t="shared" si="36"/>
        <v>0</v>
      </c>
      <c r="AG73" s="188">
        <f t="shared" si="37"/>
        <v>0</v>
      </c>
    </row>
    <row r="74" spans="2:33" ht="15" customHeight="1" x14ac:dyDescent="0.15">
      <c r="B74" s="174" t="s">
        <v>7</v>
      </c>
      <c r="C74" s="175" t="s">
        <v>15</v>
      </c>
      <c r="D74" s="176" t="str">
        <f t="shared" si="19"/>
        <v>C</v>
      </c>
      <c r="E74" s="177" t="d">
        <v>2021-01-28T15:14:59.99999979045242400</v>
      </c>
      <c r="F74" s="178" t="s">
        <v>103</v>
      </c>
      <c r="G74" s="179">
        <v>104.383</v>
      </c>
      <c r="H74" s="179">
        <v>104.253</v>
      </c>
      <c r="I74" s="180">
        <f t="shared" si="20"/>
        <v>0.12999999999999545</v>
      </c>
      <c r="J74" s="179">
        <v>105.2</v>
      </c>
      <c r="K74" s="177" t="d">
        <v>2021-01-28T15:53:59.99999987427145575</v>
      </c>
      <c r="L74" s="179">
        <v>104.28400000000001</v>
      </c>
      <c r="M74" s="181">
        <f t="shared" si="21"/>
        <v>-9.9000000000000005E-2</v>
      </c>
      <c r="N74" s="182">
        <f t="shared" si="22"/>
        <v>-0.76</v>
      </c>
      <c r="O74" s="183">
        <f t="shared" si="23"/>
        <v>0</v>
      </c>
      <c r="P74" s="184">
        <f t="shared" si="24"/>
        <v>0</v>
      </c>
      <c r="Q74" s="184">
        <f t="shared" si="25"/>
        <v>-0.76</v>
      </c>
      <c r="R74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Yes</v>
      </c>
      <c r="S74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24142.5</v>
      </c>
      <c r="T74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25000</v>
      </c>
      <c r="U74" s="186">
        <f ca="1">IF(Tabla33610673487[[#This Row],[Equity]]&lt;Tabla33610673487[[#This Row],[Equity Peak]],(Tabla33610673487[[#This Row],[Equity Peak]]-Tabla33610673487[[#This Row],[Equity]])/Tabla33610673487[[#This Row],[Equity Peak]],"")</f>
        <v>3.4299999999999997E-2</v>
      </c>
      <c r="V74" s="187">
        <f t="shared" si="26"/>
        <v>-0.76</v>
      </c>
      <c r="W74" s="187">
        <f t="shared" si="27"/>
        <v>0</v>
      </c>
      <c r="X74" s="187">
        <f t="shared" si="28"/>
        <v>0</v>
      </c>
      <c r="Y74" s="187">
        <f t="shared" si="29"/>
        <v>0</v>
      </c>
      <c r="Z74" s="187">
        <f t="shared" si="30"/>
        <v>0</v>
      </c>
      <c r="AA74" s="183">
        <f t="shared" si="31"/>
        <v>0</v>
      </c>
      <c r="AB74" s="187">
        <f t="shared" si="32"/>
        <v>0</v>
      </c>
      <c r="AC74" s="183">
        <f t="shared" si="33"/>
        <v>0</v>
      </c>
      <c r="AD74" s="188">
        <f t="shared" si="34"/>
        <v>2.7083333334303461E-2</v>
      </c>
      <c r="AE74" s="188">
        <f t="shared" si="35"/>
        <v>0</v>
      </c>
      <c r="AF74" s="188">
        <f t="shared" si="36"/>
        <v>2.7083333334303461E-2</v>
      </c>
      <c r="AG74" s="188">
        <f t="shared" si="37"/>
        <v>0</v>
      </c>
    </row>
    <row r="75" spans="2:33" ht="15" customHeight="1" x14ac:dyDescent="0.15">
      <c r="B75" s="174" t="s">
        <v>7</v>
      </c>
      <c r="C75" s="175" t="s">
        <v>15</v>
      </c>
      <c r="D75" s="176" t="str">
        <f t="shared" si="19"/>
        <v>C</v>
      </c>
      <c r="E75" s="177" t="d">
        <v>2021-01-11T03:14:59.99999979045242400</v>
      </c>
      <c r="F75" s="178" t="s">
        <v>103</v>
      </c>
      <c r="G75" s="179">
        <v>104.15300000000001</v>
      </c>
      <c r="H75" s="179">
        <v>103.94</v>
      </c>
      <c r="I75" s="180">
        <f t="shared" si="20"/>
        <v>0.21300000000000807</v>
      </c>
      <c r="J75" s="179">
        <v>105.492</v>
      </c>
      <c r="K75" s="177" t="d">
        <v>2021-01-11T19:09:00.00000029336660775</v>
      </c>
      <c r="L75" s="179">
        <v>104.095</v>
      </c>
      <c r="M75" s="181">
        <f t="shared" si="21"/>
        <v>-5.8000000000000003E-2</v>
      </c>
      <c r="N75" s="182">
        <f t="shared" si="22"/>
        <v>-0.27</v>
      </c>
      <c r="O75" s="183">
        <f t="shared" si="23"/>
        <v>0</v>
      </c>
      <c r="P75" s="184">
        <f t="shared" si="24"/>
        <v>0</v>
      </c>
      <c r="Q75" s="184">
        <f t="shared" si="25"/>
        <v>-0.27</v>
      </c>
      <c r="R75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Yes</v>
      </c>
      <c r="S75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24332.5</v>
      </c>
      <c r="T75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25000</v>
      </c>
      <c r="U75" s="186">
        <f ca="1">IF(Tabla33610673487[[#This Row],[Equity]]&lt;Tabla33610673487[[#This Row],[Equity Peak]],(Tabla33610673487[[#This Row],[Equity Peak]]-Tabla33610673487[[#This Row],[Equity]])/Tabla33610673487[[#This Row],[Equity Peak]],"")</f>
        <v>2.6700000000000002E-2</v>
      </c>
      <c r="V75" s="187">
        <f t="shared" si="26"/>
        <v>-0.27</v>
      </c>
      <c r="W75" s="187">
        <f t="shared" si="27"/>
        <v>0</v>
      </c>
      <c r="X75" s="187">
        <f t="shared" si="28"/>
        <v>0</v>
      </c>
      <c r="Y75" s="187">
        <f t="shared" si="29"/>
        <v>0</v>
      </c>
      <c r="Z75" s="187">
        <f t="shared" si="30"/>
        <v>0</v>
      </c>
      <c r="AA75" s="183">
        <f t="shared" si="31"/>
        <v>0</v>
      </c>
      <c r="AB75" s="187">
        <f t="shared" si="32"/>
        <v>0</v>
      </c>
      <c r="AC75" s="183">
        <f t="shared" si="33"/>
        <v>0</v>
      </c>
      <c r="AD75" s="188">
        <f t="shared" si="34"/>
        <v>0.66250000000582077</v>
      </c>
      <c r="AE75" s="188">
        <f t="shared" si="35"/>
        <v>0</v>
      </c>
      <c r="AF75" s="188">
        <f t="shared" si="36"/>
        <v>0.66250000000582077</v>
      </c>
      <c r="AG75" s="188">
        <f t="shared" si="37"/>
        <v>0</v>
      </c>
    </row>
    <row r="76" spans="2:33" ht="15" customHeight="1" x14ac:dyDescent="0.15">
      <c r="B76" s="174" t="s">
        <v>7</v>
      </c>
      <c r="C76" s="175" t="s">
        <v>15</v>
      </c>
      <c r="D76" s="176" t="str">
        <f t="shared" si="19"/>
        <v>C</v>
      </c>
      <c r="E76" s="177" t="d">
        <v>2021-01-08T03:14:59.99999979045242400</v>
      </c>
      <c r="F76" s="178" t="s">
        <v>103</v>
      </c>
      <c r="G76" s="179">
        <v>103.962</v>
      </c>
      <c r="H76" s="179">
        <v>103.76600000000001</v>
      </c>
      <c r="I76" s="180">
        <f t="shared" si="20"/>
        <v>0.19599999999999795</v>
      </c>
      <c r="J76" s="179">
        <v>105.194</v>
      </c>
      <c r="K76" s="177" t="d">
        <v>2021-01-08T11:52:59.99999988824129100</v>
      </c>
      <c r="L76" s="179">
        <v>103.803</v>
      </c>
      <c r="M76" s="181">
        <f t="shared" si="21"/>
        <v>-0.159</v>
      </c>
      <c r="N76" s="182">
        <f t="shared" si="22"/>
        <v>-0.81</v>
      </c>
      <c r="O76" s="183">
        <f t="shared" si="23"/>
        <v>0</v>
      </c>
      <c r="P76" s="184">
        <f t="shared" si="24"/>
        <v>0</v>
      </c>
      <c r="Q76" s="184">
        <f t="shared" si="25"/>
        <v>-0.81</v>
      </c>
      <c r="R76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Yes</v>
      </c>
      <c r="S76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24400</v>
      </c>
      <c r="T76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25000</v>
      </c>
      <c r="U76" s="186">
        <f ca="1">IF(Tabla33610673487[[#This Row],[Equity]]&lt;Tabla33610673487[[#This Row],[Equity Peak]],(Tabla33610673487[[#This Row],[Equity Peak]]-Tabla33610673487[[#This Row],[Equity]])/Tabla33610673487[[#This Row],[Equity Peak]],"")</f>
        <v>2.4E-2</v>
      </c>
      <c r="V76" s="187">
        <f t="shared" si="26"/>
        <v>-0.81</v>
      </c>
      <c r="W76" s="187">
        <f t="shared" si="27"/>
        <v>0</v>
      </c>
      <c r="X76" s="187">
        <f t="shared" si="28"/>
        <v>0</v>
      </c>
      <c r="Y76" s="187">
        <f t="shared" si="29"/>
        <v>0</v>
      </c>
      <c r="Z76" s="187">
        <f t="shared" si="30"/>
        <v>0</v>
      </c>
      <c r="AA76" s="183">
        <f t="shared" si="31"/>
        <v>0</v>
      </c>
      <c r="AB76" s="187">
        <f t="shared" si="32"/>
        <v>0</v>
      </c>
      <c r="AC76" s="183">
        <f t="shared" si="33"/>
        <v>0</v>
      </c>
      <c r="AD76" s="188">
        <f t="shared" si="34"/>
        <v>0.35972222222335404</v>
      </c>
      <c r="AE76" s="188">
        <f t="shared" si="35"/>
        <v>0</v>
      </c>
      <c r="AF76" s="188">
        <f t="shared" si="36"/>
        <v>0.35972222222335404</v>
      </c>
      <c r="AG76" s="188">
        <f t="shared" si="37"/>
        <v>0</v>
      </c>
    </row>
    <row r="77" spans="2:33" ht="15" customHeight="1" x14ac:dyDescent="0.15">
      <c r="B77" s="174" t="s">
        <v>7</v>
      </c>
      <c r="C77" s="175" t="s">
        <v>13</v>
      </c>
      <c r="D77" s="176" t="str">
        <f t="shared" si="19"/>
        <v>C</v>
      </c>
      <c r="E77" s="177" t="d">
        <v>2021-01-05T19:15:00.00000020954757600</v>
      </c>
      <c r="F77" s="178" t="s">
        <v>103</v>
      </c>
      <c r="G77" s="179">
        <v>102.637</v>
      </c>
      <c r="H77" s="179">
        <v>102.804</v>
      </c>
      <c r="I77" s="180">
        <f t="shared" si="20"/>
        <v>0.16700000000000159</v>
      </c>
      <c r="J77" s="179">
        <v>101.586</v>
      </c>
      <c r="K77" s="177" t="d">
        <v>2021-01-06T03:36:59.99999969266355025</v>
      </c>
      <c r="L77" s="179">
        <v>102.804</v>
      </c>
      <c r="M77" s="181">
        <f t="shared" si="21"/>
        <v>-0.16700000000000001</v>
      </c>
      <c r="N77" s="182">
        <f t="shared" si="22"/>
        <v>-1</v>
      </c>
      <c r="O77" s="183">
        <f t="shared" si="23"/>
        <v>0</v>
      </c>
      <c r="P77" s="184">
        <f t="shared" si="24"/>
        <v>0</v>
      </c>
      <c r="Q77" s="184">
        <f t="shared" si="25"/>
        <v>-1</v>
      </c>
      <c r="R77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Yes</v>
      </c>
      <c r="S77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24602.5</v>
      </c>
      <c r="T77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25000</v>
      </c>
      <c r="U77" s="186">
        <f ca="1">IF(Tabla33610673487[[#This Row],[Equity]]&lt;Tabla33610673487[[#This Row],[Equity Peak]],(Tabla33610673487[[#This Row],[Equity Peak]]-Tabla33610673487[[#This Row],[Equity]])/Tabla33610673487[[#This Row],[Equity Peak]],"")</f>
        <v>1.5900000000000001E-2</v>
      </c>
      <c r="V77" s="187">
        <f t="shared" si="26"/>
        <v>-1</v>
      </c>
      <c r="W77" s="187">
        <f t="shared" si="27"/>
        <v>0</v>
      </c>
      <c r="X77" s="187">
        <f t="shared" si="28"/>
        <v>0</v>
      </c>
      <c r="Y77" s="187">
        <f t="shared" si="29"/>
        <v>0</v>
      </c>
      <c r="Z77" s="187">
        <f t="shared" si="30"/>
        <v>0</v>
      </c>
      <c r="AA77" s="183">
        <f t="shared" si="31"/>
        <v>0</v>
      </c>
      <c r="AB77" s="187">
        <f t="shared" si="32"/>
        <v>0</v>
      </c>
      <c r="AC77" s="183">
        <f t="shared" si="33"/>
        <v>0</v>
      </c>
      <c r="AD77" s="188">
        <f t="shared" si="34"/>
        <v>0.34861111110512866</v>
      </c>
      <c r="AE77" s="188">
        <f t="shared" si="35"/>
        <v>0</v>
      </c>
      <c r="AF77" s="188">
        <f t="shared" si="36"/>
        <v>0.34861111110512866</v>
      </c>
      <c r="AG77" s="188">
        <f t="shared" si="37"/>
        <v>0</v>
      </c>
    </row>
    <row r="78" spans="2:33" ht="15" customHeight="1" x14ac:dyDescent="0.15">
      <c r="B78" s="174" t="s">
        <v>7</v>
      </c>
      <c r="C78" s="175" t="s">
        <v>13</v>
      </c>
      <c r="D78" s="176" t="str">
        <f t="shared" si="19"/>
        <v>C</v>
      </c>
      <c r="E78" s="177" t="d">
        <v>2021-01-04T10:30:00.000</v>
      </c>
      <c r="F78" s="178" t="s">
        <v>103</v>
      </c>
      <c r="G78" s="179">
        <v>102.831</v>
      </c>
      <c r="H78" s="179">
        <v>102.989</v>
      </c>
      <c r="I78" s="180">
        <f t="shared" si="20"/>
        <v>0.15800000000000125</v>
      </c>
      <c r="J78" s="179">
        <v>101.836</v>
      </c>
      <c r="K78" s="177" t="d">
        <v>2021-01-04T14:17:59.9999999580904875</v>
      </c>
      <c r="L78" s="179">
        <v>102.925</v>
      </c>
      <c r="M78" s="181">
        <f t="shared" si="21"/>
        <v>-9.4E-2</v>
      </c>
      <c r="N78" s="182">
        <f t="shared" si="22"/>
        <v>-0.59</v>
      </c>
      <c r="O78" s="183">
        <f t="shared" si="23"/>
        <v>0</v>
      </c>
      <c r="P78" s="184">
        <f t="shared" si="24"/>
        <v>0</v>
      </c>
      <c r="Q78" s="184">
        <f t="shared" si="25"/>
        <v>-0.59</v>
      </c>
      <c r="R78" s="184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Yes</v>
      </c>
      <c r="S78" s="185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24852.5</v>
      </c>
      <c r="T78" s="185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25000</v>
      </c>
      <c r="U78" s="186">
        <f ca="1">IF(Tabla33610673487[[#This Row],[Equity]]&lt;Tabla33610673487[[#This Row],[Equity Peak]],(Tabla33610673487[[#This Row],[Equity Peak]]-Tabla33610673487[[#This Row],[Equity]])/Tabla33610673487[[#This Row],[Equity Peak]],"")</f>
        <v>5.8999999999999999E-3</v>
      </c>
      <c r="V78" s="187">
        <f t="shared" si="26"/>
        <v>-0.59</v>
      </c>
      <c r="W78" s="187">
        <f t="shared" si="27"/>
        <v>0</v>
      </c>
      <c r="X78" s="187">
        <f t="shared" si="28"/>
        <v>0</v>
      </c>
      <c r="Y78" s="187">
        <f t="shared" si="29"/>
        <v>0</v>
      </c>
      <c r="Z78" s="187">
        <f t="shared" si="30"/>
        <v>0</v>
      </c>
      <c r="AA78" s="183">
        <f t="shared" si="31"/>
        <v>0</v>
      </c>
      <c r="AB78" s="187">
        <f t="shared" si="32"/>
        <v>0</v>
      </c>
      <c r="AC78" s="183">
        <f t="shared" si="33"/>
        <v>0</v>
      </c>
      <c r="AD78" s="188">
        <f t="shared" si="34"/>
        <v>0.15833333333284827</v>
      </c>
      <c r="AE78" s="188">
        <f t="shared" si="35"/>
        <v>0</v>
      </c>
      <c r="AF78" s="188">
        <f t="shared" si="36"/>
        <v>0.15833333333284827</v>
      </c>
      <c r="AG78" s="188">
        <f t="shared" si="37"/>
        <v>0</v>
      </c>
    </row>
  </sheetData>
  <sheetProtection algorithmName="SHA-512" hashValue="9rxPkRIVTurOd1xrNwxuOKFO6XeQPca06+E4HKB+txwPegSY9QfmSsYo6sPlnNzVyRrqqBnXQnDYI1IQg74+og==" saltValue="Biym/ReDj5y02zPAtAvi2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209" priority="3" operator="equal">
      <formula>"OK"</formula>
    </cfRule>
    <cfRule type="cellIs" dxfId="208" priority="4" operator="equal">
      <formula>"warning"</formula>
    </cfRule>
  </conditionalFormatting>
  <conditionalFormatting sqref="F13">
    <cfRule type="cellIs" dxfId="207" priority="1" operator="equal">
      <formula>"OK"</formula>
    </cfRule>
    <cfRule type="cellIs" dxfId="206" priority="2" operator="equal">
      <formula>"Error!!"</formula>
    </cfRule>
  </conditionalFormatting>
  <conditionalFormatting sqref="E15:H15 K15:L15">
    <cfRule type="expression" dxfId="205" priority="5">
      <formula>+$D15=#REF!</formula>
    </cfRule>
    <cfRule type="expression" dxfId="204" priority="6">
      <formula>+$D15=#REF!</formula>
    </cfRule>
  </conditionalFormatting>
  <conditionalFormatting sqref="D15 K16:L16 D16:H78 J17:L78">
    <cfRule type="expression" dxfId="203" priority="7">
      <formula>+$D15=$AG$8</formula>
    </cfRule>
    <cfRule type="expression" dxfId="202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7:B78" xr:uid="{C8B75768-2A9C-4DDB-978F-19794C356DE7}">
      <formula1>$AE$4:$AE$7</formula1>
    </dataValidation>
    <dataValidation type="list" allowBlank="1" showInputMessage="1" showErrorMessage="1" promptTitle="Instrument Type" prompt="Select Type from List_x000a_" sqref="B15:B16" xr:uid="{E02DF4FB-26E3-4931-86B9-5CBD72BC10FC}">
      <formula1>$AE$4:$AE$6</formula1>
    </dataValidation>
    <dataValidation type="list" allowBlank="1" showInputMessage="1" showErrorMessage="1" promptTitle="Trade Direction" prompt="Select from List" sqref="C15:C17" xr:uid="{8B2CD69A-6E38-429C-9C4B-4B88E19C5E68}">
      <formula1>$AG$4:$AG$5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8FA5E-EC00-4F42-9588-5FC233762EE6}">
  <sheetPr codeName="Hoja15">
    <pageSetUpPr fitToPage="1"/>
  </sheetPr>
  <dimension ref="A1:AX192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E2" sqref="E2:N5"/>
    </sheetView>
  </sheetViews>
  <sheetFormatPr baseColWidth="10" defaultColWidth="0" defaultRowHeight="15" customHeight="1" x14ac:dyDescent="0.15"/>
  <cols>
    <col min="1" max="1" width="2.33203125" style="117" customWidth="1"/>
    <col min="2" max="2" width="10.33203125" style="88" customWidth="1"/>
    <col min="3" max="3" width="12.6640625" style="90" customWidth="1"/>
    <col min="4" max="4" width="8.6640625" style="91" customWidth="1"/>
    <col min="5" max="5" width="13.6640625" style="107" customWidth="1"/>
    <col min="6" max="6" width="8.33203125" style="88" customWidth="1"/>
    <col min="7" max="7" width="10.6640625" style="88" bestFit="1" customWidth="1"/>
    <col min="8" max="8" width="9.83203125" style="88" bestFit="1" customWidth="1"/>
    <col min="9" max="9" width="15.33203125" style="88" customWidth="1"/>
    <col min="10" max="10" width="12.83203125" style="88" customWidth="1"/>
    <col min="11" max="11" width="12.6640625" style="107" customWidth="1"/>
    <col min="12" max="12" width="10.33203125" style="88" customWidth="1"/>
    <col min="13" max="13" width="10.1640625" style="89" customWidth="1"/>
    <col min="14" max="14" width="12.1640625" style="89" customWidth="1"/>
    <col min="15" max="15" width="8.6640625" style="89" hidden="1" customWidth="1"/>
    <col min="16" max="16" width="10.33203125" style="89" customWidth="1"/>
    <col min="17" max="17" width="11" style="89" customWidth="1"/>
    <col min="18" max="18" width="11" style="89" hidden="1" customWidth="1"/>
    <col min="19" max="20" width="11" style="96" hidden="1" customWidth="1"/>
    <col min="21" max="21" width="11" style="102" hidden="1" customWidth="1"/>
    <col min="22" max="22" width="9.33203125" style="89" bestFit="1" customWidth="1"/>
    <col min="23" max="23" width="9.33203125" style="89" hidden="1" customWidth="1"/>
    <col min="24" max="24" width="7.6640625" style="89" customWidth="1"/>
    <col min="25" max="25" width="9.33203125" style="89" hidden="1" customWidth="1"/>
    <col min="26" max="26" width="8.1640625" style="89" bestFit="1" customWidth="1"/>
    <col min="27" max="27" width="8.33203125" style="89" hidden="1" customWidth="1"/>
    <col min="28" max="28" width="8.1640625" style="89" customWidth="1"/>
    <col min="29" max="29" width="8.1640625" style="89" hidden="1" customWidth="1"/>
    <col min="30" max="30" width="9.6640625" style="89" customWidth="1"/>
    <col min="31" max="31" width="8.1640625" style="89" customWidth="1"/>
    <col min="32" max="32" width="8" style="89" customWidth="1"/>
    <col min="33" max="33" width="6.6640625" style="88" customWidth="1"/>
    <col min="34" max="34" width="2.5" style="117" customWidth="1"/>
    <col min="35" max="35" width="7.33203125" style="87" hidden="1" customWidth="1"/>
    <col min="36" max="41" width="2.6640625" style="88" hidden="1" customWidth="1"/>
    <col min="42" max="42" width="4.6640625" style="88" hidden="1" customWidth="1"/>
    <col min="43" max="43" width="7.6640625" style="88" hidden="1" customWidth="1"/>
    <col min="44" max="44" width="8.6640625" style="88" hidden="1" customWidth="1"/>
    <col min="45" max="45" width="12.33203125" style="88" hidden="1" customWidth="1"/>
    <col min="46" max="46" width="2.1640625" style="88" hidden="1" customWidth="1"/>
    <col min="47" max="47" width="2.6640625" style="88" hidden="1" customWidth="1"/>
    <col min="48" max="50" width="39.33203125" style="88" hidden="1" customWidth="1"/>
    <col min="51" max="16384" width="2.6640625" style="88" hidden="1"/>
  </cols>
  <sheetData>
    <row r="1" spans="1:48" s="87" customFormat="1" ht="15" customHeight="1" x14ac:dyDescent="0.15">
      <c r="A1" s="116"/>
      <c r="B1" s="119"/>
      <c r="C1" s="118"/>
      <c r="D1" s="118"/>
      <c r="E1" s="120"/>
      <c r="F1" s="116"/>
      <c r="G1" s="116"/>
      <c r="H1" s="116"/>
      <c r="I1" s="116"/>
      <c r="J1" s="116"/>
      <c r="K1" s="120"/>
      <c r="L1" s="121"/>
      <c r="M1" s="122"/>
      <c r="N1" s="122"/>
      <c r="O1" s="2"/>
      <c r="P1" s="134"/>
      <c r="Q1" s="134"/>
      <c r="R1" s="134"/>
      <c r="S1" s="135"/>
      <c r="T1" s="135"/>
      <c r="U1" s="136"/>
      <c r="V1" s="134"/>
      <c r="W1" s="134"/>
      <c r="X1" s="134"/>
      <c r="Y1" s="134"/>
      <c r="Z1" s="134"/>
      <c r="AA1" s="134"/>
      <c r="AB1" s="147"/>
      <c r="AC1" s="1"/>
      <c r="AD1" s="147"/>
      <c r="AE1" s="147"/>
      <c r="AF1" s="147"/>
      <c r="AG1" s="147"/>
      <c r="AH1" s="147"/>
    </row>
    <row r="2" spans="1:48" ht="15" customHeight="1" thickBot="1" x14ac:dyDescent="0.2">
      <c r="B2" s="117"/>
      <c r="C2" s="118"/>
      <c r="D2" s="123"/>
      <c r="E2" s="189" t="s">
        <v>105</v>
      </c>
      <c r="F2" s="189"/>
      <c r="G2" s="189"/>
      <c r="H2" s="189"/>
      <c r="I2" s="189"/>
      <c r="J2" s="189"/>
      <c r="K2" s="189"/>
      <c r="L2" s="189"/>
      <c r="M2" s="189"/>
      <c r="N2" s="189"/>
      <c r="O2" s="115"/>
      <c r="P2" s="137"/>
      <c r="Q2" s="137"/>
      <c r="R2" s="138"/>
      <c r="S2" s="139"/>
      <c r="T2" s="139"/>
      <c r="U2" s="140"/>
      <c r="V2" s="141"/>
      <c r="W2" s="141"/>
      <c r="X2" s="141"/>
      <c r="Y2" s="141"/>
      <c r="Z2" s="141"/>
      <c r="AA2" s="141"/>
      <c r="AB2" s="141"/>
      <c r="AC2" s="3"/>
      <c r="AD2" s="147"/>
      <c r="AE2" s="147"/>
      <c r="AF2" s="147"/>
      <c r="AG2" s="147"/>
      <c r="AH2" s="141"/>
    </row>
    <row r="3" spans="1:48" ht="15" customHeight="1" thickBot="1" x14ac:dyDescent="0.2">
      <c r="B3" s="117"/>
      <c r="C3" s="124"/>
      <c r="D3" s="123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15"/>
      <c r="P3" s="137"/>
      <c r="Q3" s="137"/>
      <c r="R3" s="138"/>
      <c r="S3" s="139"/>
      <c r="T3" s="139"/>
      <c r="U3" s="140"/>
      <c r="V3" s="141"/>
      <c r="W3" s="141"/>
      <c r="X3" s="141"/>
      <c r="Y3" s="141"/>
      <c r="Z3" s="141"/>
      <c r="AA3" s="141"/>
      <c r="AB3" s="141"/>
      <c r="AC3" s="3"/>
      <c r="AD3" s="4" t="s">
        <v>76</v>
      </c>
      <c r="AE3" s="5"/>
      <c r="AF3" s="4" t="s">
        <v>17</v>
      </c>
      <c r="AG3" s="6"/>
    </row>
    <row r="4" spans="1:48" ht="15" customHeight="1" x14ac:dyDescent="0.15">
      <c r="B4" s="117"/>
      <c r="C4" s="124"/>
      <c r="D4" s="123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15"/>
      <c r="P4" s="137"/>
      <c r="Q4" s="137"/>
      <c r="R4" s="138"/>
      <c r="S4" s="139"/>
      <c r="T4" s="139"/>
      <c r="U4" s="140"/>
      <c r="V4" s="141"/>
      <c r="W4" s="141"/>
      <c r="X4" s="141"/>
      <c r="Y4" s="141"/>
      <c r="Z4" s="141"/>
      <c r="AA4" s="141"/>
      <c r="AB4" s="141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88">
        <f>+IF(F13="OK",1,0)</f>
        <v>1</v>
      </c>
    </row>
    <row r="5" spans="1:48" ht="15" customHeight="1" thickBot="1" x14ac:dyDescent="0.2">
      <c r="B5" s="117"/>
      <c r="C5" s="124"/>
      <c r="D5" s="123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15"/>
      <c r="P5" s="137"/>
      <c r="Q5" s="137"/>
      <c r="R5" s="138"/>
      <c r="S5" s="139"/>
      <c r="T5" s="139"/>
      <c r="U5" s="140"/>
      <c r="V5" s="148" t="s">
        <v>7</v>
      </c>
      <c r="W5" s="134"/>
      <c r="X5" s="148" t="s">
        <v>6</v>
      </c>
      <c r="Y5" s="149"/>
      <c r="Z5" s="148" t="s">
        <v>5</v>
      </c>
      <c r="AA5" s="149"/>
      <c r="AB5" s="148" t="s">
        <v>73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88">
        <f>+IF(AS4=1,0,1)</f>
        <v>0</v>
      </c>
    </row>
    <row r="6" spans="1:48" ht="33" customHeight="1" thickBot="1" x14ac:dyDescent="0.2">
      <c r="B6" s="117"/>
      <c r="C6" s="124"/>
      <c r="D6" s="125"/>
      <c r="E6" s="108" t="s">
        <v>10</v>
      </c>
      <c r="F6" s="14">
        <f>COUNTA(Tabla33610673489[Inst])</f>
        <v>176</v>
      </c>
      <c r="G6" s="15" t="s">
        <v>9</v>
      </c>
      <c r="H6" s="15" t="s">
        <v>8</v>
      </c>
      <c r="I6" s="15" t="s">
        <v>61</v>
      </c>
      <c r="J6" s="77" t="s">
        <v>62</v>
      </c>
      <c r="K6" s="127"/>
      <c r="L6" s="199" t="s">
        <v>100</v>
      </c>
      <c r="M6" s="200"/>
      <c r="N6" s="203">
        <f>N13</f>
        <v>10.119999999999996</v>
      </c>
      <c r="O6" s="16"/>
      <c r="P6" s="141"/>
      <c r="Q6" s="142" t="s">
        <v>47</v>
      </c>
      <c r="R6" s="142"/>
      <c r="S6" s="143"/>
      <c r="T6" s="143"/>
      <c r="U6" s="144"/>
      <c r="V6" s="17">
        <f>+V13</f>
        <v>0</v>
      </c>
      <c r="W6" s="18"/>
      <c r="X6" s="17">
        <f>+X13</f>
        <v>10.119999999999996</v>
      </c>
      <c r="Y6" s="19"/>
      <c r="Z6" s="17">
        <f>+Z13</f>
        <v>0</v>
      </c>
      <c r="AA6" s="19"/>
      <c r="AB6" s="17">
        <f>+AB13</f>
        <v>0</v>
      </c>
      <c r="AC6" s="84"/>
      <c r="AD6" s="11" t="s">
        <v>18</v>
      </c>
      <c r="AE6" s="12" t="s">
        <v>5</v>
      </c>
      <c r="AF6" s="20"/>
      <c r="AG6" s="22"/>
    </row>
    <row r="7" spans="1:48" ht="15" customHeight="1" thickBot="1" x14ac:dyDescent="0.2">
      <c r="B7" s="117"/>
      <c r="C7" s="118"/>
      <c r="D7" s="117"/>
      <c r="E7" s="109" t="s">
        <v>4</v>
      </c>
      <c r="F7" s="23">
        <f>COUNTIF(Tabla33610673489[No. of Rs],"&gt;0")</f>
        <v>50</v>
      </c>
      <c r="G7" s="24">
        <f>IFERROR((F7/$F$6),"")</f>
        <v>0.28409090909090912</v>
      </c>
      <c r="H7" s="78">
        <f>IFERROR((+P13/F7),"")</f>
        <v>2.5299999999999998</v>
      </c>
      <c r="I7" s="205">
        <f>H7/H9</f>
        <v>2.7391304347826084</v>
      </c>
      <c r="J7" s="205">
        <f>AVERAGE(Tabla33610673489[No. of Rs])</f>
        <v>5.7499999999999975E-2</v>
      </c>
      <c r="K7" s="127"/>
      <c r="L7" s="201"/>
      <c r="M7" s="202"/>
      <c r="N7" s="204"/>
      <c r="O7" s="16"/>
      <c r="P7" s="141"/>
      <c r="Q7" s="142" t="s">
        <v>2</v>
      </c>
      <c r="R7" s="142"/>
      <c r="S7" s="143"/>
      <c r="T7" s="143"/>
      <c r="U7" s="144"/>
      <c r="V7" s="26">
        <f>IFERROR((V6/N6),"")</f>
        <v>0</v>
      </c>
      <c r="W7" s="27"/>
      <c r="X7" s="26">
        <f>IFERROR((X6/N6),"")</f>
        <v>1</v>
      </c>
      <c r="Y7" s="28"/>
      <c r="Z7" s="26">
        <f>IFERROR((Z6/N6),"")</f>
        <v>0</v>
      </c>
      <c r="AA7" s="28"/>
      <c r="AB7" s="26">
        <f>IFERROR((AB6/N6),"")</f>
        <v>0</v>
      </c>
      <c r="AC7" s="85"/>
      <c r="AD7" s="20" t="s">
        <v>75</v>
      </c>
      <c r="AE7" s="21" t="s">
        <v>73</v>
      </c>
      <c r="AF7" s="4" t="s">
        <v>37</v>
      </c>
      <c r="AG7" s="6"/>
    </row>
    <row r="8" spans="1:48" ht="23" customHeight="1" thickBot="1" x14ac:dyDescent="0.2">
      <c r="B8" s="117"/>
      <c r="C8" s="118"/>
      <c r="D8" s="117"/>
      <c r="E8" s="109" t="s">
        <v>3</v>
      </c>
      <c r="F8" s="23">
        <f>COUNTIF(Tabla33610673489[No. of Rs],"=0")</f>
        <v>0</v>
      </c>
      <c r="G8" s="24">
        <f>IFERROR((F8/$F$6),"")</f>
        <v>0</v>
      </c>
      <c r="H8" s="78"/>
      <c r="I8" s="206"/>
      <c r="J8" s="206"/>
      <c r="K8" s="141"/>
      <c r="L8" s="190" t="s">
        <v>101</v>
      </c>
      <c r="M8" s="191"/>
      <c r="N8" s="173">
        <f ca="1">OFFSET(Tabla33610673489[[#Headers],[Equity]],1,0)</f>
        <v>27530</v>
      </c>
      <c r="O8" s="16"/>
      <c r="P8" s="141"/>
      <c r="Q8" s="142" t="s">
        <v>63</v>
      </c>
      <c r="R8" s="142"/>
      <c r="S8" s="143"/>
      <c r="T8" s="143"/>
      <c r="U8" s="144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86"/>
      <c r="AD8" s="141"/>
      <c r="AE8" s="141"/>
      <c r="AF8" s="7" t="s">
        <v>31</v>
      </c>
      <c r="AG8" s="9" t="s">
        <v>33</v>
      </c>
    </row>
    <row r="9" spans="1:48" ht="15" customHeight="1" thickBot="1" x14ac:dyDescent="0.2">
      <c r="B9" s="117"/>
      <c r="C9" s="118"/>
      <c r="D9" s="126"/>
      <c r="E9" s="110" t="s">
        <v>1</v>
      </c>
      <c r="F9" s="31">
        <f>COUNTIF(Tabla33610673489[No. of Rs],"&lt;0")</f>
        <v>126</v>
      </c>
      <c r="G9" s="32">
        <f>IFERROR((F9/$F$6),"")</f>
        <v>0.71590909090909094</v>
      </c>
      <c r="H9" s="79">
        <f>IFERROR((-Q13/F9),"")</f>
        <v>0.92365079365079361</v>
      </c>
      <c r="I9" s="207"/>
      <c r="J9" s="207"/>
      <c r="K9" s="127"/>
      <c r="L9" s="208" t="s">
        <v>95</v>
      </c>
      <c r="M9" s="209"/>
      <c r="N9" s="103">
        <f ca="1">MAX(Tabla33610673489[Drawdown])</f>
        <v>0.15591531755915317</v>
      </c>
      <c r="O9" s="16"/>
      <c r="P9" s="141"/>
      <c r="Q9" s="142" t="s">
        <v>60</v>
      </c>
      <c r="R9" s="142"/>
      <c r="S9" s="143"/>
      <c r="T9" s="143"/>
      <c r="U9" s="144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86"/>
      <c r="AD9" s="141"/>
      <c r="AE9" s="141"/>
      <c r="AF9" s="11" t="s">
        <v>32</v>
      </c>
      <c r="AG9" s="13" t="s">
        <v>34</v>
      </c>
    </row>
    <row r="10" spans="1:48" ht="15" customHeight="1" thickBot="1" x14ac:dyDescent="0.2">
      <c r="B10" s="117"/>
      <c r="C10" s="118"/>
      <c r="D10" s="126"/>
      <c r="E10" s="127"/>
      <c r="F10" s="117"/>
      <c r="G10" s="141"/>
      <c r="H10" s="141"/>
      <c r="I10" s="141"/>
      <c r="J10" s="141"/>
      <c r="K10" s="155"/>
      <c r="L10" s="208" t="s">
        <v>99</v>
      </c>
      <c r="M10" s="209"/>
      <c r="N10" s="103">
        <f ca="1">OFFSET(Tabla33610673489[[#Headers],[Drawdown]],1,0)</f>
        <v>8.5761726857617265E-2</v>
      </c>
      <c r="O10" s="25"/>
      <c r="P10" s="141"/>
      <c r="Q10" s="141"/>
      <c r="R10" s="141"/>
      <c r="S10" s="145"/>
      <c r="T10" s="145"/>
      <c r="U10" s="146"/>
      <c r="V10" s="37" t="s">
        <v>53</v>
      </c>
      <c r="W10" s="38"/>
      <c r="X10" s="38">
        <f>COUNTIF(Tabla33610673489[Heat],"&lt;0")</f>
        <v>0</v>
      </c>
      <c r="Y10" s="38"/>
      <c r="Z10" s="39" t="s">
        <v>54</v>
      </c>
      <c r="AA10" s="38"/>
      <c r="AB10" s="38"/>
      <c r="AC10" s="38"/>
      <c r="AD10" s="141"/>
      <c r="AE10" s="141"/>
      <c r="AF10" s="20"/>
      <c r="AG10" s="22"/>
    </row>
    <row r="11" spans="1:48" ht="15" customHeight="1" thickBot="1" x14ac:dyDescent="0.2">
      <c r="B11" s="117"/>
      <c r="C11" s="118"/>
      <c r="D11" s="126"/>
      <c r="E11" s="111" t="s">
        <v>64</v>
      </c>
      <c r="F11" s="81">
        <v>25000</v>
      </c>
      <c r="G11" s="141"/>
      <c r="H11" s="192" t="s">
        <v>46</v>
      </c>
      <c r="I11" s="193"/>
      <c r="J11" s="80">
        <v>12</v>
      </c>
      <c r="K11" s="141"/>
      <c r="L11" s="141"/>
      <c r="M11" s="141"/>
      <c r="N11" s="141"/>
      <c r="O11" s="141"/>
      <c r="P11" s="141"/>
      <c r="Q11" s="141"/>
      <c r="R11" s="141"/>
      <c r="S11" s="145"/>
      <c r="T11" s="145"/>
      <c r="U11" s="146"/>
      <c r="V11" s="141"/>
      <c r="W11" s="141"/>
      <c r="X11" s="141"/>
      <c r="Y11" s="141"/>
      <c r="Z11" s="141"/>
      <c r="AA11" s="141"/>
      <c r="AB11" s="141"/>
      <c r="AC11" s="3"/>
      <c r="AD11" s="153"/>
      <c r="AE11" s="153"/>
      <c r="AF11" s="153"/>
      <c r="AG11" s="141"/>
      <c r="AH11" s="141"/>
    </row>
    <row r="12" spans="1:48" ht="15" customHeight="1" thickBot="1" x14ac:dyDescent="0.2">
      <c r="B12" s="117"/>
      <c r="C12" s="118"/>
      <c r="D12" s="117"/>
      <c r="E12" s="128"/>
      <c r="F12" s="117"/>
      <c r="G12" s="141"/>
      <c r="H12" s="194" t="s">
        <v>65</v>
      </c>
      <c r="I12" s="195"/>
      <c r="J12" s="82" t="str">
        <f>IF(COUNTIFS(Tabla33610673489[O/C],"O")&lt;1,"None",COUNTIFS(Tabla33610673489[O/C],"O"))</f>
        <v>None</v>
      </c>
      <c r="K12" s="155"/>
      <c r="L12" s="117"/>
      <c r="M12" s="117"/>
      <c r="N12" s="117"/>
      <c r="O12" s="117"/>
      <c r="P12" s="117"/>
      <c r="Q12" s="117"/>
      <c r="R12" s="117"/>
      <c r="S12" s="132"/>
      <c r="T12" s="132"/>
      <c r="U12" s="133"/>
      <c r="V12" s="141"/>
      <c r="W12" s="150"/>
      <c r="X12" s="151"/>
      <c r="Y12" s="151"/>
      <c r="Z12" s="152"/>
      <c r="AA12" s="151"/>
      <c r="AB12" s="152"/>
      <c r="AC12" s="40"/>
      <c r="AD12" s="196" t="s">
        <v>42</v>
      </c>
      <c r="AE12" s="197"/>
      <c r="AF12" s="197"/>
      <c r="AG12" s="198"/>
      <c r="AP12" s="89"/>
      <c r="AQ12" s="89"/>
      <c r="AR12" s="89"/>
      <c r="AS12" s="89"/>
      <c r="AT12" s="89"/>
      <c r="AV12" s="88" t="s">
        <v>12</v>
      </c>
    </row>
    <row r="13" spans="1:48" ht="15" customHeight="1" thickBot="1" x14ac:dyDescent="0.2">
      <c r="B13" s="117"/>
      <c r="C13" s="118"/>
      <c r="D13" s="117"/>
      <c r="E13" s="112" t="s">
        <v>0</v>
      </c>
      <c r="F13" s="41" t="str">
        <f>IF((+F6-SUM(F7:F9))&lt;&gt;0,"ERROR!!","OK")</f>
        <v>OK</v>
      </c>
      <c r="G13" s="141"/>
      <c r="H13" s="141"/>
      <c r="I13" s="141"/>
      <c r="J13" s="156"/>
      <c r="K13" s="155"/>
      <c r="L13" s="117"/>
      <c r="M13" s="117"/>
      <c r="N13" s="74">
        <f>SUM(Tabla33610673489[No. of Rs])</f>
        <v>10.119999999999996</v>
      </c>
      <c r="O13" s="42">
        <f>SUM(Tabla33610673489[Heat])</f>
        <v>0</v>
      </c>
      <c r="P13" s="43">
        <f>SUM(Tabla33610673489[[ TR WIN]])</f>
        <v>126.49999999999999</v>
      </c>
      <c r="Q13" s="43">
        <f>SUM(Tabla33610673489[[ TR LOSS]])</f>
        <v>-116.38</v>
      </c>
      <c r="R13" s="92"/>
      <c r="S13" s="93"/>
      <c r="T13" s="93"/>
      <c r="U13" s="99"/>
      <c r="V13" s="44">
        <f>SUM(Tabla33610673489[Currency])</f>
        <v>0</v>
      </c>
      <c r="W13" s="44">
        <f>SUM(Tabla33610673489[Heat3])</f>
        <v>0</v>
      </c>
      <c r="X13" s="44">
        <f>SUM(Tabla33610673489[Commodities])</f>
        <v>10.119999999999996</v>
      </c>
      <c r="Y13" s="44">
        <f>SUM(Tabla33610673489[Heat4])</f>
        <v>0</v>
      </c>
      <c r="Z13" s="44">
        <f>SUM(Tabla33610673489[Index])</f>
        <v>0</v>
      </c>
      <c r="AA13" s="44">
        <f>SUM(Tabla33610673489[Heat5])</f>
        <v>0</v>
      </c>
      <c r="AB13" s="44">
        <f>SUM(Tabla33610673489[Cryptocurrency])</f>
        <v>0</v>
      </c>
      <c r="AC13" s="44">
        <f>SUM(Tabla33610673489[Heat6])</f>
        <v>0</v>
      </c>
      <c r="AD13" s="75">
        <f>AVERAGEIF(Tabla33610673489[Length of 
Trade],"&lt;&gt;0")</f>
        <v>0.49238888888915039</v>
      </c>
      <c r="AE13" s="75">
        <f>AVERAGEIF(Tabla33610673489[Win],"&lt;&gt;0")</f>
        <v>0.93986111111124049</v>
      </c>
      <c r="AF13" s="75">
        <f>AVERAGEIF(Tabla33610673489[Loss],"&lt;&gt;0")</f>
        <v>0.31340000000031432</v>
      </c>
      <c r="AG13" s="76" t="e">
        <f>AVERAGEIF(Tabla33610673489[Breakeven],"&lt;&gt;0")</f>
        <v>#DIV/0!</v>
      </c>
      <c r="AP13" s="89"/>
      <c r="AV13" s="88" t="s">
        <v>11</v>
      </c>
    </row>
    <row r="14" spans="1:48" ht="15" customHeight="1" thickBot="1" x14ac:dyDescent="0.2">
      <c r="B14" s="117"/>
      <c r="C14" s="118"/>
      <c r="D14" s="117"/>
      <c r="E14" s="127"/>
      <c r="F14" s="129"/>
      <c r="G14" s="157"/>
      <c r="H14" s="157"/>
      <c r="I14" s="157"/>
      <c r="J14" s="157"/>
      <c r="K14" s="158"/>
      <c r="L14" s="129"/>
      <c r="M14" s="129"/>
      <c r="N14" s="129"/>
      <c r="O14" s="129"/>
      <c r="P14" s="129"/>
      <c r="Q14" s="129"/>
      <c r="R14" s="129"/>
      <c r="S14" s="130"/>
      <c r="T14" s="130"/>
      <c r="U14" s="131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</row>
    <row r="15" spans="1:48" s="90" customFormat="1" ht="43" thickBot="1" x14ac:dyDescent="0.2">
      <c r="A15" s="118"/>
      <c r="B15" s="45" t="s">
        <v>29</v>
      </c>
      <c r="C15" s="46" t="s">
        <v>28</v>
      </c>
      <c r="D15" s="45" t="s">
        <v>35</v>
      </c>
      <c r="E15" s="113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05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97" t="s">
        <v>98</v>
      </c>
      <c r="S15" s="94" t="s">
        <v>93</v>
      </c>
      <c r="T15" s="104" t="s">
        <v>96</v>
      </c>
      <c r="U15" s="100" t="s">
        <v>94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75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18"/>
      <c r="AI15" s="87"/>
    </row>
    <row r="16" spans="1:48" s="90" customFormat="1" ht="42" hidden="1" x14ac:dyDescent="0.15">
      <c r="A16" s="118"/>
      <c r="B16" s="60" t="s">
        <v>29</v>
      </c>
      <c r="C16" s="61" t="s">
        <v>28</v>
      </c>
      <c r="D16" s="62" t="s">
        <v>35</v>
      </c>
      <c r="E16" s="114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06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98" t="s">
        <v>98</v>
      </c>
      <c r="S16" s="95" t="s">
        <v>93</v>
      </c>
      <c r="T16" s="95" t="s">
        <v>96</v>
      </c>
      <c r="U16" s="101" t="s">
        <v>94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75</v>
      </c>
      <c r="AC16" s="68" t="s">
        <v>92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54"/>
      <c r="AI16" s="87"/>
    </row>
    <row r="17" spans="1:35" s="90" customFormat="1" ht="14" x14ac:dyDescent="0.15">
      <c r="A17" s="118"/>
      <c r="B17" s="174" t="s">
        <v>19</v>
      </c>
      <c r="C17" s="175" t="s">
        <v>15</v>
      </c>
      <c r="D17" s="176" t="str">
        <f t="shared" ref="D17:D48" si="0">IF(E17&lt;&gt;"",IF(K17&lt;&gt;"","C","O"),"")</f>
        <v>C</v>
      </c>
      <c r="E17" s="177" t="d">
        <v>2021-12-30T16:44:59.99999979045242400</v>
      </c>
      <c r="F17" s="178" t="s">
        <v>77</v>
      </c>
      <c r="G17" s="179">
        <v>1807.65</v>
      </c>
      <c r="H17" s="179">
        <v>1804.15</v>
      </c>
      <c r="I17" s="180">
        <f t="shared" ref="I17:I48" si="1">ABS(G17-H17)</f>
        <v>3.5</v>
      </c>
      <c r="J17" s="179">
        <v>1824.47</v>
      </c>
      <c r="K17" s="177" t="d">
        <v>2021-12-30T23:58:59.99999980442225925</v>
      </c>
      <c r="L17" s="179">
        <v>1814.68</v>
      </c>
      <c r="M17" s="181">
        <f t="shared" ref="M17:M48" si="2">ROUND(IF(C17="L",(L17-G17),(G17-L17)),4)</f>
        <v>7.03</v>
      </c>
      <c r="N17" s="182">
        <f t="shared" ref="N17:N48" si="3">IFERROR(ROUND((M17/I17),2),"")</f>
        <v>2.0099999999999998</v>
      </c>
      <c r="O17" s="183">
        <f t="shared" ref="O17:O48" si="4">IF(D17="O",IF(N17&lt;0,N17,0),0)</f>
        <v>0</v>
      </c>
      <c r="P17" s="184">
        <f t="shared" ref="P17:P48" si="5">IF(N17&gt;= 0,N17,0)</f>
        <v>2.0099999999999998</v>
      </c>
      <c r="Q17" s="184">
        <f t="shared" ref="Q17:Q48" si="6">IF(N17&lt;0,N17,0)</f>
        <v>0</v>
      </c>
      <c r="R1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27530</v>
      </c>
      <c r="T1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7" s="186">
        <f ca="1">IF(Tabla33610673489[[#This Row],[Equity]]&lt;Tabla33610673489[[#This Row],[Equity Peak]],(Tabla33610673489[[#This Row],[Equity Peak]]-Tabla33610673489[[#This Row],[Equity]])/Tabla33610673489[[#This Row],[Equity Peak]],"")</f>
        <v>8.5761726857617265E-2</v>
      </c>
      <c r="V17" s="187">
        <f t="shared" ref="V17:V48" si="7">IF(B17="FX",N17,0)</f>
        <v>0</v>
      </c>
      <c r="W17" s="187">
        <f t="shared" ref="W17:W48" si="8">IF(D17="O",IF(V17&lt;0,V17,0),0)</f>
        <v>0</v>
      </c>
      <c r="X17" s="187">
        <f t="shared" ref="X17:X48" si="9">IF(B17="COM",N17,0)</f>
        <v>2.0099999999999998</v>
      </c>
      <c r="Y17" s="187">
        <f t="shared" ref="Y17:Y48" si="10">IF(D17="O",IF(X17&lt;0,X17,0),0)</f>
        <v>0</v>
      </c>
      <c r="Z17" s="187">
        <f t="shared" ref="Z17:Z48" si="11">IF(B17="IND",N17,0)</f>
        <v>0</v>
      </c>
      <c r="AA17" s="183">
        <f t="shared" ref="AA17:AA48" si="12">IF(D17="O",IF(Z17&lt;0,Z17,0),0)</f>
        <v>0</v>
      </c>
      <c r="AB17" s="187">
        <f t="shared" ref="AB17:AB48" si="13">IF(B17="CRYPTO",N17,0)</f>
        <v>0</v>
      </c>
      <c r="AC17" s="183">
        <f t="shared" ref="AC17:AC48" si="14">IF(D17="O",IF(AB17&lt;0,AB17,0),0)</f>
        <v>0</v>
      </c>
      <c r="AD17" s="188">
        <f t="shared" ref="AD17:AD48" si="15">IF(K17&lt;&gt;"",K17-E17,0)</f>
        <v>0.30138888888905058</v>
      </c>
      <c r="AE17" s="188">
        <f t="shared" ref="AE17:AE48" si="16">IF(N17&gt;0,AD17,0)</f>
        <v>0.30138888888905058</v>
      </c>
      <c r="AF17" s="188">
        <f t="shared" ref="AF17:AF48" si="17">IF(N17&lt;0,AD17,0)</f>
        <v>0</v>
      </c>
      <c r="AG17" s="188">
        <f t="shared" ref="AG17:AG48" si="18">IF(N17=0,AD17,0)</f>
        <v>0</v>
      </c>
      <c r="AH17" s="154"/>
      <c r="AI17" s="87"/>
    </row>
    <row r="18" spans="1:35" ht="15" customHeight="1" x14ac:dyDescent="0.15">
      <c r="B18" s="174" t="s">
        <v>19</v>
      </c>
      <c r="C18" s="175" t="s">
        <v>13</v>
      </c>
      <c r="D18" s="176" t="str">
        <f t="shared" si="0"/>
        <v>C</v>
      </c>
      <c r="E18" s="177" t="d">
        <v>2021-12-30T07:44:59.99999979045242400</v>
      </c>
      <c r="F18" s="178" t="s">
        <v>77</v>
      </c>
      <c r="G18" s="179">
        <v>1798.7</v>
      </c>
      <c r="H18" s="179">
        <v>1802.09</v>
      </c>
      <c r="I18" s="180">
        <f t="shared" si="1"/>
        <v>3.3899999999998727</v>
      </c>
      <c r="J18" s="179">
        <v>1782.42</v>
      </c>
      <c r="K18" s="177" t="d">
        <v>2021-12-30T11:03:00.00000016763806350</v>
      </c>
      <c r="L18" s="179">
        <v>1802.09</v>
      </c>
      <c r="M18" s="181">
        <f t="shared" si="2"/>
        <v>-3.39</v>
      </c>
      <c r="N18" s="182">
        <f t="shared" si="3"/>
        <v>-1</v>
      </c>
      <c r="O18" s="183">
        <f t="shared" si="4"/>
        <v>0</v>
      </c>
      <c r="P18" s="184">
        <f t="shared" si="5"/>
        <v>0</v>
      </c>
      <c r="Q18" s="184">
        <f t="shared" si="6"/>
        <v>-1</v>
      </c>
      <c r="R1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27027.5</v>
      </c>
      <c r="T1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8" s="186">
        <f ca="1">IF(Tabla33610673489[[#This Row],[Equity]]&lt;Tabla33610673489[[#This Row],[Equity Peak]],(Tabla33610673489[[#This Row],[Equity Peak]]-Tabla33610673489[[#This Row],[Equity]])/Tabla33610673489[[#This Row],[Equity Peak]],"")</f>
        <v>0.1024491490244915</v>
      </c>
      <c r="V18" s="187">
        <f t="shared" si="7"/>
        <v>0</v>
      </c>
      <c r="W18" s="187">
        <f t="shared" si="8"/>
        <v>0</v>
      </c>
      <c r="X18" s="187">
        <f t="shared" si="9"/>
        <v>-1</v>
      </c>
      <c r="Y18" s="187">
        <f t="shared" si="10"/>
        <v>0</v>
      </c>
      <c r="Z18" s="187">
        <f t="shared" si="11"/>
        <v>0</v>
      </c>
      <c r="AA18" s="183">
        <f t="shared" si="12"/>
        <v>0</v>
      </c>
      <c r="AB18" s="187">
        <f t="shared" si="13"/>
        <v>0</v>
      </c>
      <c r="AC18" s="183">
        <f t="shared" si="14"/>
        <v>0</v>
      </c>
      <c r="AD18" s="188">
        <f t="shared" si="15"/>
        <v>0.13750000000436557</v>
      </c>
      <c r="AE18" s="188">
        <f t="shared" si="16"/>
        <v>0</v>
      </c>
      <c r="AF18" s="188">
        <f t="shared" si="17"/>
        <v>0.13750000000436557</v>
      </c>
      <c r="AG18" s="188">
        <f t="shared" si="18"/>
        <v>0</v>
      </c>
    </row>
    <row r="19" spans="1:35" ht="15" customHeight="1" x14ac:dyDescent="0.15">
      <c r="B19" s="174" t="s">
        <v>19</v>
      </c>
      <c r="C19" s="175" t="s">
        <v>13</v>
      </c>
      <c r="D19" s="176" t="str">
        <f t="shared" si="0"/>
        <v>C</v>
      </c>
      <c r="E19" s="177" t="d">
        <v>2021-12-29T10:15:00.00000020954757600</v>
      </c>
      <c r="F19" s="178" t="s">
        <v>77</v>
      </c>
      <c r="G19" s="179">
        <v>1802.6</v>
      </c>
      <c r="H19" s="179">
        <v>1805.94</v>
      </c>
      <c r="I19" s="180">
        <f t="shared" si="1"/>
        <v>3.3400000000001455</v>
      </c>
      <c r="J19" s="179">
        <v>1786.56</v>
      </c>
      <c r="K19" s="177" t="d">
        <v>2021-12-29T15:36:59.99999969266355025</v>
      </c>
      <c r="L19" s="179">
        <v>1793.51</v>
      </c>
      <c r="M19" s="181">
        <f t="shared" si="2"/>
        <v>9.09</v>
      </c>
      <c r="N19" s="182">
        <f t="shared" si="3"/>
        <v>2.72</v>
      </c>
      <c r="O19" s="183">
        <f t="shared" si="4"/>
        <v>0</v>
      </c>
      <c r="P19" s="184">
        <f t="shared" si="5"/>
        <v>2.72</v>
      </c>
      <c r="Q19" s="184">
        <f t="shared" si="6"/>
        <v>0</v>
      </c>
      <c r="R1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27277.5</v>
      </c>
      <c r="T1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9" s="186">
        <f ca="1">IF(Tabla33610673489[[#This Row],[Equity]]&lt;Tabla33610673489[[#This Row],[Equity Peak]],(Tabla33610673489[[#This Row],[Equity Peak]]-Tabla33610673489[[#This Row],[Equity]])/Tabla33610673489[[#This Row],[Equity Peak]],"")</f>
        <v>9.4146948941469494E-2</v>
      </c>
      <c r="V19" s="187">
        <f t="shared" si="7"/>
        <v>0</v>
      </c>
      <c r="W19" s="187">
        <f t="shared" si="8"/>
        <v>0</v>
      </c>
      <c r="X19" s="187">
        <f t="shared" si="9"/>
        <v>2.72</v>
      </c>
      <c r="Y19" s="187">
        <f t="shared" si="10"/>
        <v>0</v>
      </c>
      <c r="Z19" s="187">
        <f t="shared" si="11"/>
        <v>0</v>
      </c>
      <c r="AA19" s="183">
        <f t="shared" si="12"/>
        <v>0</v>
      </c>
      <c r="AB19" s="187">
        <f t="shared" si="13"/>
        <v>0</v>
      </c>
      <c r="AC19" s="183">
        <f t="shared" si="14"/>
        <v>0</v>
      </c>
      <c r="AD19" s="188">
        <f t="shared" si="15"/>
        <v>0.22361111110512866</v>
      </c>
      <c r="AE19" s="188">
        <f t="shared" si="16"/>
        <v>0.22361111110512866</v>
      </c>
      <c r="AF19" s="188">
        <f t="shared" si="17"/>
        <v>0</v>
      </c>
      <c r="AG19" s="188">
        <f t="shared" si="18"/>
        <v>0</v>
      </c>
    </row>
    <row r="20" spans="1:35" ht="15" customHeight="1" x14ac:dyDescent="0.15">
      <c r="B20" s="174" t="s">
        <v>19</v>
      </c>
      <c r="C20" s="175" t="s">
        <v>15</v>
      </c>
      <c r="D20" s="176" t="str">
        <f t="shared" si="0"/>
        <v>C</v>
      </c>
      <c r="E20" s="177" t="d">
        <v>2021-12-28T08:45:00.00000020954757600</v>
      </c>
      <c r="F20" s="178" t="s">
        <v>77</v>
      </c>
      <c r="G20" s="179">
        <v>1815.26</v>
      </c>
      <c r="H20" s="179">
        <v>1811.82</v>
      </c>
      <c r="I20" s="180">
        <f t="shared" si="1"/>
        <v>3.4400000000000546</v>
      </c>
      <c r="J20" s="179">
        <v>1831.76</v>
      </c>
      <c r="K20" s="177" t="d">
        <v>2021-12-28T16:06:59.99999990221113300</v>
      </c>
      <c r="L20" s="179">
        <v>1812.29</v>
      </c>
      <c r="M20" s="181">
        <f t="shared" si="2"/>
        <v>-2.97</v>
      </c>
      <c r="N20" s="182">
        <f t="shared" si="3"/>
        <v>-0.86</v>
      </c>
      <c r="O20" s="183">
        <f t="shared" si="4"/>
        <v>0</v>
      </c>
      <c r="P20" s="184">
        <f t="shared" si="5"/>
        <v>0</v>
      </c>
      <c r="Q20" s="184">
        <f t="shared" si="6"/>
        <v>-0.86</v>
      </c>
      <c r="R2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26597.5</v>
      </c>
      <c r="T2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20" s="186">
        <f ca="1">IF(Tabla33610673489[[#This Row],[Equity]]&lt;Tabla33610673489[[#This Row],[Equity Peak]],(Tabla33610673489[[#This Row],[Equity Peak]]-Tabla33610673489[[#This Row],[Equity]])/Tabla33610673489[[#This Row],[Equity Peak]],"")</f>
        <v>0.11672893316728933</v>
      </c>
      <c r="V20" s="187">
        <f t="shared" si="7"/>
        <v>0</v>
      </c>
      <c r="W20" s="187">
        <f t="shared" si="8"/>
        <v>0</v>
      </c>
      <c r="X20" s="187">
        <f t="shared" si="9"/>
        <v>-0.86</v>
      </c>
      <c r="Y20" s="187">
        <f t="shared" si="10"/>
        <v>0</v>
      </c>
      <c r="Z20" s="187">
        <f t="shared" si="11"/>
        <v>0</v>
      </c>
      <c r="AA20" s="183">
        <f t="shared" si="12"/>
        <v>0</v>
      </c>
      <c r="AB20" s="187">
        <f t="shared" si="13"/>
        <v>0</v>
      </c>
      <c r="AC20" s="183">
        <f t="shared" si="14"/>
        <v>0</v>
      </c>
      <c r="AD20" s="188">
        <f t="shared" si="15"/>
        <v>0.30694444444088731</v>
      </c>
      <c r="AE20" s="188">
        <f t="shared" si="16"/>
        <v>0</v>
      </c>
      <c r="AF20" s="188">
        <f t="shared" si="17"/>
        <v>0.30694444444088731</v>
      </c>
      <c r="AG20" s="188">
        <f t="shared" si="18"/>
        <v>0</v>
      </c>
    </row>
    <row r="21" spans="1:35" ht="15" customHeight="1" x14ac:dyDescent="0.15">
      <c r="B21" s="174" t="s">
        <v>19</v>
      </c>
      <c r="C21" s="175" t="s">
        <v>15</v>
      </c>
      <c r="D21" s="176" t="str">
        <f t="shared" si="0"/>
        <v>C</v>
      </c>
      <c r="E21" s="177" t="d">
        <v>2021-12-27T17:15:00.000</v>
      </c>
      <c r="F21" s="178" t="s">
        <v>77</v>
      </c>
      <c r="G21" s="179">
        <v>1811.44</v>
      </c>
      <c r="H21" s="179">
        <v>1807.72</v>
      </c>
      <c r="I21" s="180">
        <f t="shared" si="1"/>
        <v>3.7200000000000273</v>
      </c>
      <c r="J21" s="179">
        <v>1829.29</v>
      </c>
      <c r="K21" s="177" t="d">
        <v>2021-12-27T19:54:59.99999986030161375</v>
      </c>
      <c r="L21" s="179">
        <v>1807.72</v>
      </c>
      <c r="M21" s="181">
        <f t="shared" si="2"/>
        <v>-3.72</v>
      </c>
      <c r="N21" s="182">
        <f t="shared" si="3"/>
        <v>-1</v>
      </c>
      <c r="O21" s="183">
        <f t="shared" si="4"/>
        <v>0</v>
      </c>
      <c r="P21" s="184">
        <f t="shared" si="5"/>
        <v>0</v>
      </c>
      <c r="Q21" s="184">
        <f t="shared" si="6"/>
        <v>-1</v>
      </c>
      <c r="R2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26812.5</v>
      </c>
      <c r="T2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21" s="186">
        <f ca="1">IF(Tabla33610673489[[#This Row],[Equity]]&lt;Tabla33610673489[[#This Row],[Equity Peak]],(Tabla33610673489[[#This Row],[Equity Peak]]-Tabla33610673489[[#This Row],[Equity]])/Tabla33610673489[[#This Row],[Equity Peak]],"")</f>
        <v>0.1095890410958904</v>
      </c>
      <c r="V21" s="187">
        <f t="shared" si="7"/>
        <v>0</v>
      </c>
      <c r="W21" s="187">
        <f t="shared" si="8"/>
        <v>0</v>
      </c>
      <c r="X21" s="187">
        <f t="shared" si="9"/>
        <v>-1</v>
      </c>
      <c r="Y21" s="187">
        <f t="shared" si="10"/>
        <v>0</v>
      </c>
      <c r="Z21" s="187">
        <f t="shared" si="11"/>
        <v>0</v>
      </c>
      <c r="AA21" s="183">
        <f t="shared" si="12"/>
        <v>0</v>
      </c>
      <c r="AB21" s="187">
        <f t="shared" si="13"/>
        <v>0</v>
      </c>
      <c r="AC21" s="183">
        <f t="shared" si="14"/>
        <v>0</v>
      </c>
      <c r="AD21" s="188">
        <f t="shared" si="15"/>
        <v>0.11111111110949423</v>
      </c>
      <c r="AE21" s="188">
        <f t="shared" si="16"/>
        <v>0</v>
      </c>
      <c r="AF21" s="188">
        <f t="shared" si="17"/>
        <v>0.11111111110949423</v>
      </c>
      <c r="AG21" s="188">
        <f t="shared" si="18"/>
        <v>0</v>
      </c>
    </row>
    <row r="22" spans="1:35" ht="15" customHeight="1" x14ac:dyDescent="0.15">
      <c r="B22" s="174" t="s">
        <v>19</v>
      </c>
      <c r="C22" s="175" t="s">
        <v>15</v>
      </c>
      <c r="D22" s="176" t="str">
        <f t="shared" si="0"/>
        <v>C</v>
      </c>
      <c r="E22" s="177" t="d">
        <v>2021-12-22T12:45:00.000</v>
      </c>
      <c r="F22" s="178" t="s">
        <v>77</v>
      </c>
      <c r="G22" s="179">
        <v>1791.53</v>
      </c>
      <c r="H22" s="179">
        <v>1787.28</v>
      </c>
      <c r="I22" s="180">
        <f t="shared" si="1"/>
        <v>4.25</v>
      </c>
      <c r="J22" s="179">
        <v>1811.93</v>
      </c>
      <c r="K22" s="177" t="d">
        <v>2021-12-23T14:17:59.9999999580904875</v>
      </c>
      <c r="L22" s="179">
        <v>1803.72</v>
      </c>
      <c r="M22" s="181">
        <f t="shared" si="2"/>
        <v>12.19</v>
      </c>
      <c r="N22" s="182">
        <f t="shared" si="3"/>
        <v>2.87</v>
      </c>
      <c r="O22" s="183">
        <f t="shared" si="4"/>
        <v>0</v>
      </c>
      <c r="P22" s="184">
        <f t="shared" si="5"/>
        <v>2.87</v>
      </c>
      <c r="Q22" s="184">
        <f t="shared" si="6"/>
        <v>0</v>
      </c>
      <c r="R2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27062.5</v>
      </c>
      <c r="T2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22" s="186">
        <f ca="1">IF(Tabla33610673489[[#This Row],[Equity]]&lt;Tabla33610673489[[#This Row],[Equity Peak]],(Tabla33610673489[[#This Row],[Equity Peak]]-Tabla33610673489[[#This Row],[Equity]])/Tabla33610673489[[#This Row],[Equity Peak]],"")</f>
        <v>0.1012868410128684</v>
      </c>
      <c r="V22" s="187">
        <f t="shared" si="7"/>
        <v>0</v>
      </c>
      <c r="W22" s="187">
        <f t="shared" si="8"/>
        <v>0</v>
      </c>
      <c r="X22" s="187">
        <f t="shared" si="9"/>
        <v>2.87</v>
      </c>
      <c r="Y22" s="187">
        <f t="shared" si="10"/>
        <v>0</v>
      </c>
      <c r="Z22" s="187">
        <f t="shared" si="11"/>
        <v>0</v>
      </c>
      <c r="AA22" s="183">
        <f t="shared" si="12"/>
        <v>0</v>
      </c>
      <c r="AB22" s="187">
        <f t="shared" si="13"/>
        <v>0</v>
      </c>
      <c r="AC22" s="183">
        <f t="shared" si="14"/>
        <v>0</v>
      </c>
      <c r="AD22" s="188">
        <f t="shared" si="15"/>
        <v>1.0645833333328483</v>
      </c>
      <c r="AE22" s="188">
        <f t="shared" si="16"/>
        <v>1.0645833333328483</v>
      </c>
      <c r="AF22" s="188">
        <f t="shared" si="17"/>
        <v>0</v>
      </c>
      <c r="AG22" s="188">
        <f t="shared" si="18"/>
        <v>0</v>
      </c>
    </row>
    <row r="23" spans="1:35" ht="15" customHeight="1" x14ac:dyDescent="0.15">
      <c r="B23" s="174" t="s">
        <v>19</v>
      </c>
      <c r="C23" s="175" t="s">
        <v>13</v>
      </c>
      <c r="D23" s="176" t="str">
        <f t="shared" si="0"/>
        <v>C</v>
      </c>
      <c r="E23" s="177" t="d">
        <v>2021-12-21T17:45:00.00000020954757600</v>
      </c>
      <c r="F23" s="178" t="s">
        <v>77</v>
      </c>
      <c r="G23" s="179">
        <v>1786.37</v>
      </c>
      <c r="H23" s="179">
        <v>1790.82</v>
      </c>
      <c r="I23" s="180">
        <f t="shared" si="1"/>
        <v>4.4500000000000455</v>
      </c>
      <c r="J23" s="179">
        <v>1765.01</v>
      </c>
      <c r="K23" s="177" t="d">
        <v>2021-12-22T02:00:00.00000020954757600</v>
      </c>
      <c r="L23" s="179">
        <v>1790.82</v>
      </c>
      <c r="M23" s="181">
        <f t="shared" si="2"/>
        <v>-4.45</v>
      </c>
      <c r="N23" s="182">
        <f t="shared" si="3"/>
        <v>-1</v>
      </c>
      <c r="O23" s="183">
        <f t="shared" si="4"/>
        <v>0</v>
      </c>
      <c r="P23" s="184">
        <f t="shared" si="5"/>
        <v>0</v>
      </c>
      <c r="Q23" s="184">
        <f t="shared" si="6"/>
        <v>-1</v>
      </c>
      <c r="R2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26345</v>
      </c>
      <c r="T2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23" s="186">
        <f ca="1">IF(Tabla33610673489[[#This Row],[Equity]]&lt;Tabla33610673489[[#This Row],[Equity Peak]],(Tabla33610673489[[#This Row],[Equity Peak]]-Tabla33610673489[[#This Row],[Equity]])/Tabla33610673489[[#This Row],[Equity Peak]],"")</f>
        <v>0.12511415525114156</v>
      </c>
      <c r="V23" s="187">
        <f t="shared" si="7"/>
        <v>0</v>
      </c>
      <c r="W23" s="187">
        <f t="shared" si="8"/>
        <v>0</v>
      </c>
      <c r="X23" s="187">
        <f t="shared" si="9"/>
        <v>-1</v>
      </c>
      <c r="Y23" s="187">
        <f t="shared" si="10"/>
        <v>0</v>
      </c>
      <c r="Z23" s="187">
        <f t="shared" si="11"/>
        <v>0</v>
      </c>
      <c r="AA23" s="183">
        <f t="shared" si="12"/>
        <v>0</v>
      </c>
      <c r="AB23" s="187">
        <f t="shared" si="13"/>
        <v>0</v>
      </c>
      <c r="AC23" s="183">
        <f t="shared" si="14"/>
        <v>0</v>
      </c>
      <c r="AD23" s="188">
        <f t="shared" si="15"/>
        <v>0.34375</v>
      </c>
      <c r="AE23" s="188">
        <f t="shared" si="16"/>
        <v>0</v>
      </c>
      <c r="AF23" s="188">
        <f t="shared" si="17"/>
        <v>0.34375</v>
      </c>
      <c r="AG23" s="188">
        <f t="shared" si="18"/>
        <v>0</v>
      </c>
    </row>
    <row r="24" spans="1:35" ht="15" customHeight="1" x14ac:dyDescent="0.15">
      <c r="B24" s="174" t="s">
        <v>19</v>
      </c>
      <c r="C24" s="175" t="s">
        <v>15</v>
      </c>
      <c r="D24" s="176" t="str">
        <f t="shared" si="0"/>
        <v>C</v>
      </c>
      <c r="E24" s="177" t="d">
        <v>2021-12-21T10:15:00.00000020954757600</v>
      </c>
      <c r="F24" s="178" t="s">
        <v>77</v>
      </c>
      <c r="G24" s="179">
        <v>1795.27</v>
      </c>
      <c r="H24" s="179">
        <v>1790.94</v>
      </c>
      <c r="I24" s="180">
        <f t="shared" si="1"/>
        <v>4.3299999999999272</v>
      </c>
      <c r="J24" s="179">
        <v>1816.05</v>
      </c>
      <c r="K24" s="177" t="d">
        <v>2021-12-21T17:06:59.99999969266355025</v>
      </c>
      <c r="L24" s="179">
        <v>1790.94</v>
      </c>
      <c r="M24" s="181">
        <f t="shared" si="2"/>
        <v>-4.33</v>
      </c>
      <c r="N24" s="182">
        <f t="shared" si="3"/>
        <v>-1</v>
      </c>
      <c r="O24" s="183">
        <f t="shared" si="4"/>
        <v>0</v>
      </c>
      <c r="P24" s="184">
        <f t="shared" si="5"/>
        <v>0</v>
      </c>
      <c r="Q24" s="184">
        <f t="shared" si="6"/>
        <v>-1</v>
      </c>
      <c r="R2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26595</v>
      </c>
      <c r="T2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24" s="186">
        <f ca="1">IF(Tabla33610673489[[#This Row],[Equity]]&lt;Tabla33610673489[[#This Row],[Equity Peak]],(Tabla33610673489[[#This Row],[Equity Peak]]-Tabla33610673489[[#This Row],[Equity]])/Tabla33610673489[[#This Row],[Equity Peak]],"")</f>
        <v>0.11681195516811956</v>
      </c>
      <c r="V24" s="187">
        <f t="shared" si="7"/>
        <v>0</v>
      </c>
      <c r="W24" s="187">
        <f t="shared" si="8"/>
        <v>0</v>
      </c>
      <c r="X24" s="187">
        <f t="shared" si="9"/>
        <v>-1</v>
      </c>
      <c r="Y24" s="187">
        <f t="shared" si="10"/>
        <v>0</v>
      </c>
      <c r="Z24" s="187">
        <f t="shared" si="11"/>
        <v>0</v>
      </c>
      <c r="AA24" s="183">
        <f t="shared" si="12"/>
        <v>0</v>
      </c>
      <c r="AB24" s="187">
        <f t="shared" si="13"/>
        <v>0</v>
      </c>
      <c r="AC24" s="183">
        <f t="shared" si="14"/>
        <v>0</v>
      </c>
      <c r="AD24" s="188">
        <f t="shared" si="15"/>
        <v>0.28611111110512866</v>
      </c>
      <c r="AE24" s="188">
        <f t="shared" si="16"/>
        <v>0</v>
      </c>
      <c r="AF24" s="188">
        <f t="shared" si="17"/>
        <v>0.28611111110512866</v>
      </c>
      <c r="AG24" s="188">
        <f t="shared" si="18"/>
        <v>0</v>
      </c>
    </row>
    <row r="25" spans="1:35" ht="15" customHeight="1" x14ac:dyDescent="0.15">
      <c r="B25" s="174" t="s">
        <v>19</v>
      </c>
      <c r="C25" s="175" t="s">
        <v>13</v>
      </c>
      <c r="D25" s="176" t="str">
        <f t="shared" si="0"/>
        <v>C</v>
      </c>
      <c r="E25" s="177" t="d">
        <v>2021-12-20T23:00:00.00000020954757600</v>
      </c>
      <c r="F25" s="178" t="s">
        <v>77</v>
      </c>
      <c r="G25" s="179">
        <v>1788.46</v>
      </c>
      <c r="H25" s="179">
        <v>1792.8</v>
      </c>
      <c r="I25" s="180">
        <f t="shared" si="1"/>
        <v>4.3399999999999181</v>
      </c>
      <c r="J25" s="179">
        <v>1767.61</v>
      </c>
      <c r="K25" s="177" t="d">
        <v>2021-12-21T05:45:59.99999977648258200</v>
      </c>
      <c r="L25" s="179">
        <v>1792.8</v>
      </c>
      <c r="M25" s="181">
        <f t="shared" si="2"/>
        <v>-4.34</v>
      </c>
      <c r="N25" s="182">
        <f t="shared" si="3"/>
        <v>-1</v>
      </c>
      <c r="O25" s="183">
        <f t="shared" si="4"/>
        <v>0</v>
      </c>
      <c r="P25" s="184">
        <f t="shared" si="5"/>
        <v>0</v>
      </c>
      <c r="Q25" s="184">
        <f t="shared" si="6"/>
        <v>-1</v>
      </c>
      <c r="R2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26845</v>
      </c>
      <c r="T2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25" s="186">
        <f ca="1">IF(Tabla33610673489[[#This Row],[Equity]]&lt;Tabla33610673489[[#This Row],[Equity Peak]],(Tabla33610673489[[#This Row],[Equity Peak]]-Tabla33610673489[[#This Row],[Equity]])/Tabla33610673489[[#This Row],[Equity Peak]],"")</f>
        <v>0.10850975508509755</v>
      </c>
      <c r="V25" s="187">
        <f t="shared" si="7"/>
        <v>0</v>
      </c>
      <c r="W25" s="187">
        <f t="shared" si="8"/>
        <v>0</v>
      </c>
      <c r="X25" s="187">
        <f t="shared" si="9"/>
        <v>-1</v>
      </c>
      <c r="Y25" s="187">
        <f t="shared" si="10"/>
        <v>0</v>
      </c>
      <c r="Z25" s="187">
        <f t="shared" si="11"/>
        <v>0</v>
      </c>
      <c r="AA25" s="183">
        <f t="shared" si="12"/>
        <v>0</v>
      </c>
      <c r="AB25" s="187">
        <f t="shared" si="13"/>
        <v>0</v>
      </c>
      <c r="AC25" s="183">
        <f t="shared" si="14"/>
        <v>0</v>
      </c>
      <c r="AD25" s="188">
        <f t="shared" si="15"/>
        <v>0.28194444443943212</v>
      </c>
      <c r="AE25" s="188">
        <f t="shared" si="16"/>
        <v>0</v>
      </c>
      <c r="AF25" s="188">
        <f t="shared" si="17"/>
        <v>0.28194444443943212</v>
      </c>
      <c r="AG25" s="188">
        <f t="shared" si="18"/>
        <v>0</v>
      </c>
    </row>
    <row r="26" spans="1:35" ht="15" customHeight="1" x14ac:dyDescent="0.15">
      <c r="B26" s="174" t="s">
        <v>19</v>
      </c>
      <c r="C26" s="175" t="s">
        <v>15</v>
      </c>
      <c r="D26" s="176" t="str">
        <f t="shared" si="0"/>
        <v>C</v>
      </c>
      <c r="E26" s="177" t="d">
        <v>2021-12-16T03:59:59.99999979045242400</v>
      </c>
      <c r="F26" s="178" t="s">
        <v>77</v>
      </c>
      <c r="G26" s="179">
        <v>1782.83</v>
      </c>
      <c r="H26" s="179">
        <v>1778.69</v>
      </c>
      <c r="I26" s="180">
        <f t="shared" si="1"/>
        <v>4.1399999999998727</v>
      </c>
      <c r="J26" s="179">
        <v>1802.72</v>
      </c>
      <c r="K26" s="177" t="d">
        <v>2021-12-17T03:53:00.00000030733644975</v>
      </c>
      <c r="L26" s="179">
        <v>1802.72</v>
      </c>
      <c r="M26" s="181">
        <f t="shared" si="2"/>
        <v>19.89</v>
      </c>
      <c r="N26" s="182">
        <f t="shared" si="3"/>
        <v>4.8</v>
      </c>
      <c r="O26" s="183">
        <f t="shared" si="4"/>
        <v>0</v>
      </c>
      <c r="P26" s="184">
        <f t="shared" si="5"/>
        <v>4.8</v>
      </c>
      <c r="Q26" s="184">
        <f t="shared" si="6"/>
        <v>0</v>
      </c>
      <c r="R2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27095</v>
      </c>
      <c r="T2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26" s="186">
        <f ca="1">IF(Tabla33610673489[[#This Row],[Equity]]&lt;Tabla33610673489[[#This Row],[Equity Peak]],(Tabla33610673489[[#This Row],[Equity Peak]]-Tabla33610673489[[#This Row],[Equity]])/Tabla33610673489[[#This Row],[Equity Peak]],"")</f>
        <v>0.10020755500207555</v>
      </c>
      <c r="V26" s="187">
        <f t="shared" si="7"/>
        <v>0</v>
      </c>
      <c r="W26" s="187">
        <f t="shared" si="8"/>
        <v>0</v>
      </c>
      <c r="X26" s="187">
        <f t="shared" si="9"/>
        <v>4.8</v>
      </c>
      <c r="Y26" s="187">
        <f t="shared" si="10"/>
        <v>0</v>
      </c>
      <c r="Z26" s="187">
        <f t="shared" si="11"/>
        <v>0</v>
      </c>
      <c r="AA26" s="183">
        <f t="shared" si="12"/>
        <v>0</v>
      </c>
      <c r="AB26" s="187">
        <f t="shared" si="13"/>
        <v>0</v>
      </c>
      <c r="AC26" s="183">
        <f t="shared" si="14"/>
        <v>0</v>
      </c>
      <c r="AD26" s="188">
        <f t="shared" si="15"/>
        <v>0.99513888889487134</v>
      </c>
      <c r="AE26" s="188">
        <f t="shared" si="16"/>
        <v>0.99513888889487134</v>
      </c>
      <c r="AF26" s="188">
        <f t="shared" si="17"/>
        <v>0</v>
      </c>
      <c r="AG26" s="188">
        <f t="shared" si="18"/>
        <v>0</v>
      </c>
    </row>
    <row r="27" spans="1:35" ht="15" customHeight="1" x14ac:dyDescent="0.15">
      <c r="B27" s="174" t="s">
        <v>19</v>
      </c>
      <c r="C27" s="175" t="s">
        <v>13</v>
      </c>
      <c r="D27" s="176" t="str">
        <f t="shared" si="0"/>
        <v>C</v>
      </c>
      <c r="E27" s="177" t="d">
        <v>2021-12-14T15:30:00.00000020954757600</v>
      </c>
      <c r="F27" s="178" t="s">
        <v>77</v>
      </c>
      <c r="G27" s="179">
        <v>1779.44</v>
      </c>
      <c r="H27" s="179">
        <v>1783.45</v>
      </c>
      <c r="I27" s="180">
        <f t="shared" si="1"/>
        <v>4.0099999999999909</v>
      </c>
      <c r="J27" s="179">
        <v>1760.18</v>
      </c>
      <c r="K27" s="177" t="d">
        <v>2021-12-14T16:43:00.00000002793967725</v>
      </c>
      <c r="L27" s="179">
        <v>1771.78</v>
      </c>
      <c r="M27" s="181">
        <f t="shared" si="2"/>
        <v>7.66</v>
      </c>
      <c r="N27" s="182">
        <f t="shared" si="3"/>
        <v>1.91</v>
      </c>
      <c r="O27" s="183">
        <f t="shared" si="4"/>
        <v>0</v>
      </c>
      <c r="P27" s="184">
        <f t="shared" si="5"/>
        <v>1.91</v>
      </c>
      <c r="Q27" s="184">
        <f t="shared" si="6"/>
        <v>0</v>
      </c>
      <c r="R2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25895</v>
      </c>
      <c r="T2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27" s="186">
        <f ca="1">IF(Tabla33610673489[[#This Row],[Equity]]&lt;Tabla33610673489[[#This Row],[Equity Peak]],(Tabla33610673489[[#This Row],[Equity Peak]]-Tabla33610673489[[#This Row],[Equity]])/Tabla33610673489[[#This Row],[Equity Peak]],"")</f>
        <v>0.14005811540058116</v>
      </c>
      <c r="V27" s="187">
        <f t="shared" si="7"/>
        <v>0</v>
      </c>
      <c r="W27" s="187">
        <f t="shared" si="8"/>
        <v>0</v>
      </c>
      <c r="X27" s="187">
        <f t="shared" si="9"/>
        <v>1.91</v>
      </c>
      <c r="Y27" s="187">
        <f t="shared" si="10"/>
        <v>0</v>
      </c>
      <c r="Z27" s="187">
        <f t="shared" si="11"/>
        <v>0</v>
      </c>
      <c r="AA27" s="183">
        <f t="shared" si="12"/>
        <v>0</v>
      </c>
      <c r="AB27" s="187">
        <f t="shared" si="13"/>
        <v>0</v>
      </c>
      <c r="AC27" s="183">
        <f t="shared" si="14"/>
        <v>0</v>
      </c>
      <c r="AD27" s="188">
        <f t="shared" si="15"/>
        <v>5.0694444442342501E-2</v>
      </c>
      <c r="AE27" s="188">
        <f t="shared" si="16"/>
        <v>5.0694444442342501E-2</v>
      </c>
      <c r="AF27" s="188">
        <f t="shared" si="17"/>
        <v>0</v>
      </c>
      <c r="AG27" s="188">
        <f t="shared" si="18"/>
        <v>0</v>
      </c>
    </row>
    <row r="28" spans="1:35" ht="15" customHeight="1" x14ac:dyDescent="0.15">
      <c r="B28" s="174" t="s">
        <v>19</v>
      </c>
      <c r="C28" s="175" t="s">
        <v>15</v>
      </c>
      <c r="D28" s="176" t="str">
        <f t="shared" si="0"/>
        <v>C</v>
      </c>
      <c r="E28" s="177" t="d">
        <v>2021-12-13T14:29:59.99999979045242400</v>
      </c>
      <c r="F28" s="178" t="s">
        <v>77</v>
      </c>
      <c r="G28" s="179">
        <v>1789.69</v>
      </c>
      <c r="H28" s="179">
        <v>1785.56</v>
      </c>
      <c r="I28" s="180">
        <f t="shared" si="1"/>
        <v>4.1300000000001091</v>
      </c>
      <c r="J28" s="179">
        <v>1809.51</v>
      </c>
      <c r="K28" s="177" t="d">
        <v>2021-12-13T15:13:00.00000002793967725</v>
      </c>
      <c r="L28" s="179">
        <v>1785.56</v>
      </c>
      <c r="M28" s="181">
        <f t="shared" si="2"/>
        <v>-4.13</v>
      </c>
      <c r="N28" s="182">
        <f t="shared" si="3"/>
        <v>-1</v>
      </c>
      <c r="O28" s="183">
        <f t="shared" si="4"/>
        <v>0</v>
      </c>
      <c r="P28" s="184">
        <f t="shared" si="5"/>
        <v>0</v>
      </c>
      <c r="Q28" s="184">
        <f t="shared" si="6"/>
        <v>-1</v>
      </c>
      <c r="R2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25417.5</v>
      </c>
      <c r="T2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28" s="186">
        <f ca="1">IF(Tabla33610673489[[#This Row],[Equity]]&lt;Tabla33610673489[[#This Row],[Equity Peak]],(Tabla33610673489[[#This Row],[Equity Peak]]-Tabla33610673489[[#This Row],[Equity]])/Tabla33610673489[[#This Row],[Equity Peak]],"")</f>
        <v>0.15591531755915317</v>
      </c>
      <c r="V28" s="187">
        <f t="shared" si="7"/>
        <v>0</v>
      </c>
      <c r="W28" s="187">
        <f t="shared" si="8"/>
        <v>0</v>
      </c>
      <c r="X28" s="187">
        <f t="shared" si="9"/>
        <v>-1</v>
      </c>
      <c r="Y28" s="187">
        <f t="shared" si="10"/>
        <v>0</v>
      </c>
      <c r="Z28" s="187">
        <f t="shared" si="11"/>
        <v>0</v>
      </c>
      <c r="AA28" s="183">
        <f t="shared" si="12"/>
        <v>0</v>
      </c>
      <c r="AB28" s="187">
        <f t="shared" si="13"/>
        <v>0</v>
      </c>
      <c r="AC28" s="183">
        <f t="shared" si="14"/>
        <v>0</v>
      </c>
      <c r="AD28" s="188">
        <f t="shared" si="15"/>
        <v>2.9861111113859806E-2</v>
      </c>
      <c r="AE28" s="188">
        <f t="shared" si="16"/>
        <v>0</v>
      </c>
      <c r="AF28" s="188">
        <f t="shared" si="17"/>
        <v>2.9861111113859806E-2</v>
      </c>
      <c r="AG28" s="188">
        <f t="shared" si="18"/>
        <v>0</v>
      </c>
    </row>
    <row r="29" spans="1:35" ht="15" customHeight="1" x14ac:dyDescent="0.15">
      <c r="B29" s="174" t="s">
        <v>19</v>
      </c>
      <c r="C29" s="175" t="s">
        <v>15</v>
      </c>
      <c r="D29" s="176" t="str">
        <f t="shared" si="0"/>
        <v>C</v>
      </c>
      <c r="E29" s="177" t="d">
        <v>2021-12-10T15:59:59.99999979045242400</v>
      </c>
      <c r="F29" s="178" t="s">
        <v>77</v>
      </c>
      <c r="G29" s="179">
        <v>1784.29</v>
      </c>
      <c r="H29" s="179">
        <v>1779.77</v>
      </c>
      <c r="I29" s="180">
        <f t="shared" si="1"/>
        <v>4.5199999999999818</v>
      </c>
      <c r="J29" s="179">
        <v>1805.97</v>
      </c>
      <c r="K29" s="177" t="d">
        <v>2021-12-10T16:38:00.00000030733644975</v>
      </c>
      <c r="L29" s="179">
        <v>1779.77</v>
      </c>
      <c r="M29" s="181">
        <f t="shared" si="2"/>
        <v>-4.5199999999999996</v>
      </c>
      <c r="N29" s="182">
        <f t="shared" si="3"/>
        <v>-1</v>
      </c>
      <c r="O29" s="183">
        <f t="shared" si="4"/>
        <v>0</v>
      </c>
      <c r="P29" s="184">
        <f t="shared" si="5"/>
        <v>0</v>
      </c>
      <c r="Q29" s="184">
        <f t="shared" si="6"/>
        <v>-1</v>
      </c>
      <c r="R2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25667.5</v>
      </c>
      <c r="T2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29" s="186">
        <f ca="1">IF(Tabla33610673489[[#This Row],[Equity]]&lt;Tabla33610673489[[#This Row],[Equity Peak]],(Tabla33610673489[[#This Row],[Equity Peak]]-Tabla33610673489[[#This Row],[Equity]])/Tabla33610673489[[#This Row],[Equity Peak]],"")</f>
        <v>0.14761311747613118</v>
      </c>
      <c r="V29" s="187">
        <f t="shared" si="7"/>
        <v>0</v>
      </c>
      <c r="W29" s="187">
        <f t="shared" si="8"/>
        <v>0</v>
      </c>
      <c r="X29" s="187">
        <f t="shared" si="9"/>
        <v>-1</v>
      </c>
      <c r="Y29" s="187">
        <f t="shared" si="10"/>
        <v>0</v>
      </c>
      <c r="Z29" s="187">
        <f t="shared" si="11"/>
        <v>0</v>
      </c>
      <c r="AA29" s="183">
        <f t="shared" si="12"/>
        <v>0</v>
      </c>
      <c r="AB29" s="187">
        <f t="shared" si="13"/>
        <v>0</v>
      </c>
      <c r="AC29" s="183">
        <f t="shared" si="14"/>
        <v>0</v>
      </c>
      <c r="AD29" s="188">
        <f t="shared" si="15"/>
        <v>2.6388888894871343E-2</v>
      </c>
      <c r="AE29" s="188">
        <f t="shared" si="16"/>
        <v>0</v>
      </c>
      <c r="AF29" s="188">
        <f t="shared" si="17"/>
        <v>2.6388888894871343E-2</v>
      </c>
      <c r="AG29" s="188">
        <f t="shared" si="18"/>
        <v>0</v>
      </c>
    </row>
    <row r="30" spans="1:35" ht="15" customHeight="1" x14ac:dyDescent="0.15">
      <c r="B30" s="174" t="s">
        <v>19</v>
      </c>
      <c r="C30" s="175" t="s">
        <v>13</v>
      </c>
      <c r="D30" s="176" t="str">
        <f t="shared" si="0"/>
        <v>C</v>
      </c>
      <c r="E30" s="177" t="d">
        <v>2021-12-09T12:14:59.99999979045242400</v>
      </c>
      <c r="F30" s="178" t="s">
        <v>77</v>
      </c>
      <c r="G30" s="179">
        <v>1781.67</v>
      </c>
      <c r="H30" s="179">
        <v>1786.3</v>
      </c>
      <c r="I30" s="180">
        <f t="shared" si="1"/>
        <v>4.6299999999998818</v>
      </c>
      <c r="J30" s="179">
        <v>1759.43</v>
      </c>
      <c r="K30" s="177" t="d">
        <v>2021-12-10T15:11:00.00000026542693050</v>
      </c>
      <c r="L30" s="179">
        <v>1775.09</v>
      </c>
      <c r="M30" s="181">
        <f t="shared" si="2"/>
        <v>6.58</v>
      </c>
      <c r="N30" s="182">
        <f t="shared" si="3"/>
        <v>1.42</v>
      </c>
      <c r="O30" s="183">
        <f t="shared" si="4"/>
        <v>0</v>
      </c>
      <c r="P30" s="184">
        <f t="shared" si="5"/>
        <v>1.42</v>
      </c>
      <c r="Q30" s="184">
        <f t="shared" si="6"/>
        <v>0</v>
      </c>
      <c r="R3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25917.5</v>
      </c>
      <c r="T3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30" s="186">
        <f ca="1">IF(Tabla33610673489[[#This Row],[Equity]]&lt;Tabla33610673489[[#This Row],[Equity Peak]],(Tabla33610673489[[#This Row],[Equity Peak]]-Tabla33610673489[[#This Row],[Equity]])/Tabla33610673489[[#This Row],[Equity Peak]],"")</f>
        <v>0.13931091739310916</v>
      </c>
      <c r="V30" s="187">
        <f t="shared" si="7"/>
        <v>0</v>
      </c>
      <c r="W30" s="187">
        <f t="shared" si="8"/>
        <v>0</v>
      </c>
      <c r="X30" s="187">
        <f t="shared" si="9"/>
        <v>1.42</v>
      </c>
      <c r="Y30" s="187">
        <f t="shared" si="10"/>
        <v>0</v>
      </c>
      <c r="Z30" s="187">
        <f t="shared" si="11"/>
        <v>0</v>
      </c>
      <c r="AA30" s="183">
        <f t="shared" si="12"/>
        <v>0</v>
      </c>
      <c r="AB30" s="187">
        <f t="shared" si="13"/>
        <v>0</v>
      </c>
      <c r="AC30" s="183">
        <f t="shared" si="14"/>
        <v>0</v>
      </c>
      <c r="AD30" s="188">
        <f t="shared" si="15"/>
        <v>1.1222222222277196</v>
      </c>
      <c r="AE30" s="188">
        <f t="shared" si="16"/>
        <v>1.1222222222277196</v>
      </c>
      <c r="AF30" s="188">
        <f t="shared" si="17"/>
        <v>0</v>
      </c>
      <c r="AG30" s="188">
        <f t="shared" si="18"/>
        <v>0</v>
      </c>
    </row>
    <row r="31" spans="1:35" ht="15" customHeight="1" x14ac:dyDescent="0.15">
      <c r="B31" s="174" t="s">
        <v>19</v>
      </c>
      <c r="C31" s="175" t="s">
        <v>15</v>
      </c>
      <c r="D31" s="176" t="str">
        <f t="shared" si="0"/>
        <v>C</v>
      </c>
      <c r="E31" s="177" t="d">
        <v>2021-12-07T18:30:00.00000020954757600</v>
      </c>
      <c r="F31" s="178" t="s">
        <v>77</v>
      </c>
      <c r="G31" s="179">
        <v>1786.1</v>
      </c>
      <c r="H31" s="179">
        <v>1780.42</v>
      </c>
      <c r="I31" s="180">
        <f t="shared" si="1"/>
        <v>5.6799999999998363</v>
      </c>
      <c r="J31" s="179">
        <v>1813.34</v>
      </c>
      <c r="K31" s="177" t="d">
        <v>2021-12-08T15:21:59.99999990221113300</v>
      </c>
      <c r="L31" s="179">
        <v>1782.01</v>
      </c>
      <c r="M31" s="181">
        <f t="shared" si="2"/>
        <v>-4.09</v>
      </c>
      <c r="N31" s="182">
        <f t="shared" si="3"/>
        <v>-0.72</v>
      </c>
      <c r="O31" s="183">
        <f t="shared" si="4"/>
        <v>0</v>
      </c>
      <c r="P31" s="184">
        <f t="shared" si="5"/>
        <v>0</v>
      </c>
      <c r="Q31" s="184">
        <f t="shared" si="6"/>
        <v>-0.72</v>
      </c>
      <c r="R3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25562.5</v>
      </c>
      <c r="T3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31" s="186">
        <f ca="1">IF(Tabla33610673489[[#This Row],[Equity]]&lt;Tabla33610673489[[#This Row],[Equity Peak]],(Tabla33610673489[[#This Row],[Equity Peak]]-Tabla33610673489[[#This Row],[Equity]])/Tabla33610673489[[#This Row],[Equity Peak]],"")</f>
        <v>0.15110004151100043</v>
      </c>
      <c r="V31" s="187">
        <f t="shared" si="7"/>
        <v>0</v>
      </c>
      <c r="W31" s="187">
        <f t="shared" si="8"/>
        <v>0</v>
      </c>
      <c r="X31" s="187">
        <f t="shared" si="9"/>
        <v>-0.72</v>
      </c>
      <c r="Y31" s="187">
        <f t="shared" si="10"/>
        <v>0</v>
      </c>
      <c r="Z31" s="187">
        <f t="shared" si="11"/>
        <v>0</v>
      </c>
      <c r="AA31" s="183">
        <f t="shared" si="12"/>
        <v>0</v>
      </c>
      <c r="AB31" s="187">
        <f t="shared" si="13"/>
        <v>0</v>
      </c>
      <c r="AC31" s="183">
        <f t="shared" si="14"/>
        <v>0</v>
      </c>
      <c r="AD31" s="188">
        <f t="shared" si="15"/>
        <v>0.86944444444088731</v>
      </c>
      <c r="AE31" s="188">
        <f t="shared" si="16"/>
        <v>0</v>
      </c>
      <c r="AF31" s="188">
        <f t="shared" si="17"/>
        <v>0.86944444444088731</v>
      </c>
      <c r="AG31" s="188">
        <f t="shared" si="18"/>
        <v>0</v>
      </c>
    </row>
    <row r="32" spans="1:35" ht="15" customHeight="1" x14ac:dyDescent="0.15">
      <c r="B32" s="174" t="s">
        <v>19</v>
      </c>
      <c r="C32" s="175" t="s">
        <v>13</v>
      </c>
      <c r="D32" s="176" t="str">
        <f t="shared" si="0"/>
        <v>C</v>
      </c>
      <c r="E32" s="177" t="d">
        <v>2021-12-07T15:45:00.000</v>
      </c>
      <c r="F32" s="178" t="s">
        <v>77</v>
      </c>
      <c r="G32" s="179">
        <v>1774.16</v>
      </c>
      <c r="H32" s="179">
        <v>1779.82</v>
      </c>
      <c r="I32" s="180">
        <f t="shared" si="1"/>
        <v>5.6599999999998545</v>
      </c>
      <c r="J32" s="179">
        <v>1747.01</v>
      </c>
      <c r="K32" s="177" t="d">
        <v>2021-12-07T16:15:00.00000020954757600</v>
      </c>
      <c r="L32" s="179">
        <v>1779.82</v>
      </c>
      <c r="M32" s="181">
        <f t="shared" si="2"/>
        <v>-5.66</v>
      </c>
      <c r="N32" s="182">
        <f t="shared" si="3"/>
        <v>-1</v>
      </c>
      <c r="O32" s="183">
        <f t="shared" si="4"/>
        <v>0</v>
      </c>
      <c r="P32" s="184">
        <f t="shared" si="5"/>
        <v>0</v>
      </c>
      <c r="Q32" s="184">
        <f t="shared" si="6"/>
        <v>-1</v>
      </c>
      <c r="R3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25742.5</v>
      </c>
      <c r="T3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32" s="186">
        <f ca="1">IF(Tabla33610673489[[#This Row],[Equity]]&lt;Tabla33610673489[[#This Row],[Equity Peak]],(Tabla33610673489[[#This Row],[Equity Peak]]-Tabla33610673489[[#This Row],[Equity]])/Tabla33610673489[[#This Row],[Equity Peak]],"")</f>
        <v>0.14512245745122457</v>
      </c>
      <c r="V32" s="187">
        <f t="shared" si="7"/>
        <v>0</v>
      </c>
      <c r="W32" s="187">
        <f t="shared" si="8"/>
        <v>0</v>
      </c>
      <c r="X32" s="187">
        <f t="shared" si="9"/>
        <v>-1</v>
      </c>
      <c r="Y32" s="187">
        <f t="shared" si="10"/>
        <v>0</v>
      </c>
      <c r="Z32" s="187">
        <f t="shared" si="11"/>
        <v>0</v>
      </c>
      <c r="AA32" s="183">
        <f t="shared" si="12"/>
        <v>0</v>
      </c>
      <c r="AB32" s="187">
        <f t="shared" si="13"/>
        <v>0</v>
      </c>
      <c r="AC32" s="183">
        <f t="shared" si="14"/>
        <v>0</v>
      </c>
      <c r="AD32" s="188">
        <f t="shared" si="15"/>
        <v>2.0833333335758653E-2</v>
      </c>
      <c r="AE32" s="188">
        <f t="shared" si="16"/>
        <v>0</v>
      </c>
      <c r="AF32" s="188">
        <f t="shared" si="17"/>
        <v>2.0833333335758653E-2</v>
      </c>
      <c r="AG32" s="188">
        <f t="shared" si="18"/>
        <v>0</v>
      </c>
    </row>
    <row r="33" spans="2:33" ht="15" customHeight="1" x14ac:dyDescent="0.15">
      <c r="B33" s="174" t="s">
        <v>19</v>
      </c>
      <c r="C33" s="175" t="s">
        <v>13</v>
      </c>
      <c r="D33" s="176" t="str">
        <f t="shared" si="0"/>
        <v>C</v>
      </c>
      <c r="E33" s="177" t="d">
        <v>2021-12-06T11:45:00.00000020954757600</v>
      </c>
      <c r="F33" s="178" t="s">
        <v>77</v>
      </c>
      <c r="G33" s="179">
        <v>1778.29</v>
      </c>
      <c r="H33" s="179">
        <v>1784.07</v>
      </c>
      <c r="I33" s="180">
        <f t="shared" si="1"/>
        <v>5.7799999999999727</v>
      </c>
      <c r="J33" s="179">
        <v>1750.53</v>
      </c>
      <c r="K33" s="177" t="d">
        <v>2021-12-06T18:53:00.00000030733644975</v>
      </c>
      <c r="L33" s="179">
        <v>1784.07</v>
      </c>
      <c r="M33" s="181">
        <f t="shared" si="2"/>
        <v>-5.78</v>
      </c>
      <c r="N33" s="182">
        <f t="shared" si="3"/>
        <v>-1</v>
      </c>
      <c r="O33" s="183">
        <f t="shared" si="4"/>
        <v>0</v>
      </c>
      <c r="P33" s="184">
        <f t="shared" si="5"/>
        <v>0</v>
      </c>
      <c r="Q33" s="184">
        <f t="shared" si="6"/>
        <v>-1</v>
      </c>
      <c r="R3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25992.5</v>
      </c>
      <c r="T3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33" s="186">
        <f ca="1">IF(Tabla33610673489[[#This Row],[Equity]]&lt;Tabla33610673489[[#This Row],[Equity Peak]],(Tabla33610673489[[#This Row],[Equity Peak]]-Tabla33610673489[[#This Row],[Equity]])/Tabla33610673489[[#This Row],[Equity Peak]],"")</f>
        <v>0.13682025736820258</v>
      </c>
      <c r="V33" s="187">
        <f t="shared" si="7"/>
        <v>0</v>
      </c>
      <c r="W33" s="187">
        <f t="shared" si="8"/>
        <v>0</v>
      </c>
      <c r="X33" s="187">
        <f t="shared" si="9"/>
        <v>-1</v>
      </c>
      <c r="Y33" s="187">
        <f t="shared" si="10"/>
        <v>0</v>
      </c>
      <c r="Z33" s="187">
        <f t="shared" si="11"/>
        <v>0</v>
      </c>
      <c r="AA33" s="183">
        <f t="shared" si="12"/>
        <v>0</v>
      </c>
      <c r="AB33" s="187">
        <f t="shared" si="13"/>
        <v>0</v>
      </c>
      <c r="AC33" s="183">
        <f t="shared" si="14"/>
        <v>0</v>
      </c>
      <c r="AD33" s="188">
        <f t="shared" si="15"/>
        <v>0.29722222222335404</v>
      </c>
      <c r="AE33" s="188">
        <f t="shared" si="16"/>
        <v>0</v>
      </c>
      <c r="AF33" s="188">
        <f t="shared" si="17"/>
        <v>0.29722222222335404</v>
      </c>
      <c r="AG33" s="188">
        <f t="shared" si="18"/>
        <v>0</v>
      </c>
    </row>
    <row r="34" spans="2:33" ht="15" customHeight="1" x14ac:dyDescent="0.15">
      <c r="B34" s="174" t="s">
        <v>19</v>
      </c>
      <c r="C34" s="175" t="s">
        <v>13</v>
      </c>
      <c r="D34" s="176" t="str">
        <f t="shared" si="0"/>
        <v>C</v>
      </c>
      <c r="E34" s="177" t="d">
        <v>2021-12-02T06:30:00.00000020954757600</v>
      </c>
      <c r="F34" s="178" t="s">
        <v>77</v>
      </c>
      <c r="G34" s="179">
        <v>1777.22</v>
      </c>
      <c r="H34" s="179">
        <v>1783.21</v>
      </c>
      <c r="I34" s="180">
        <f t="shared" si="1"/>
        <v>5.9900000000000091</v>
      </c>
      <c r="J34" s="179">
        <v>1748.46</v>
      </c>
      <c r="K34" s="177" t="d">
        <v>2021-12-02T17:35:00.00000013969838625</v>
      </c>
      <c r="L34" s="179">
        <v>1770.78</v>
      </c>
      <c r="M34" s="181">
        <f t="shared" si="2"/>
        <v>6.44</v>
      </c>
      <c r="N34" s="182">
        <f t="shared" si="3"/>
        <v>1.08</v>
      </c>
      <c r="O34" s="183">
        <f t="shared" si="4"/>
        <v>0</v>
      </c>
      <c r="P34" s="184">
        <f t="shared" si="5"/>
        <v>1.08</v>
      </c>
      <c r="Q34" s="184">
        <f t="shared" si="6"/>
        <v>0</v>
      </c>
      <c r="R3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26242.5</v>
      </c>
      <c r="T3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34" s="186">
        <f ca="1">IF(Tabla33610673489[[#This Row],[Equity]]&lt;Tabla33610673489[[#This Row],[Equity Peak]],(Tabla33610673489[[#This Row],[Equity Peak]]-Tabla33610673489[[#This Row],[Equity]])/Tabla33610673489[[#This Row],[Equity Peak]],"")</f>
        <v>0.12851805728518056</v>
      </c>
      <c r="V34" s="187">
        <f t="shared" si="7"/>
        <v>0</v>
      </c>
      <c r="W34" s="187">
        <f t="shared" si="8"/>
        <v>0</v>
      </c>
      <c r="X34" s="187">
        <f t="shared" si="9"/>
        <v>1.08</v>
      </c>
      <c r="Y34" s="187">
        <f t="shared" si="10"/>
        <v>0</v>
      </c>
      <c r="Z34" s="187">
        <f t="shared" si="11"/>
        <v>0</v>
      </c>
      <c r="AA34" s="183">
        <f t="shared" si="12"/>
        <v>0</v>
      </c>
      <c r="AB34" s="187">
        <f t="shared" si="13"/>
        <v>0</v>
      </c>
      <c r="AC34" s="183">
        <f t="shared" si="14"/>
        <v>0</v>
      </c>
      <c r="AD34" s="188">
        <f t="shared" si="15"/>
        <v>0.46180555555474712</v>
      </c>
      <c r="AE34" s="188">
        <f t="shared" si="16"/>
        <v>0.46180555555474712</v>
      </c>
      <c r="AF34" s="188">
        <f t="shared" si="17"/>
        <v>0</v>
      </c>
      <c r="AG34" s="188">
        <f t="shared" si="18"/>
        <v>0</v>
      </c>
    </row>
    <row r="35" spans="2:33" ht="15" customHeight="1" x14ac:dyDescent="0.15">
      <c r="B35" s="174" t="s">
        <v>19</v>
      </c>
      <c r="C35" s="175" t="s">
        <v>13</v>
      </c>
      <c r="D35" s="176" t="str">
        <f t="shared" si="0"/>
        <v>C</v>
      </c>
      <c r="E35" s="177" t="d">
        <v>2021-11-30T18:00:00.000</v>
      </c>
      <c r="F35" s="178" t="s">
        <v>77</v>
      </c>
      <c r="G35" s="179">
        <v>1784.62</v>
      </c>
      <c r="H35" s="179">
        <v>1790.43</v>
      </c>
      <c r="I35" s="180">
        <f t="shared" si="1"/>
        <v>5.8100000000001728</v>
      </c>
      <c r="J35" s="179">
        <v>1756.72</v>
      </c>
      <c r="K35" s="177" t="d">
        <v>2021-11-30T21:02:59.9999999580904875</v>
      </c>
      <c r="L35" s="179">
        <v>1777.64</v>
      </c>
      <c r="M35" s="181">
        <f t="shared" si="2"/>
        <v>6.98</v>
      </c>
      <c r="N35" s="182">
        <f t="shared" si="3"/>
        <v>1.2</v>
      </c>
      <c r="O35" s="183">
        <f t="shared" si="4"/>
        <v>0</v>
      </c>
      <c r="P35" s="184">
        <f t="shared" si="5"/>
        <v>1.2</v>
      </c>
      <c r="Q35" s="184">
        <f t="shared" si="6"/>
        <v>0</v>
      </c>
      <c r="R3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25972.5</v>
      </c>
      <c r="T3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35" s="186">
        <f ca="1">IF(Tabla33610673489[[#This Row],[Equity]]&lt;Tabla33610673489[[#This Row],[Equity Peak]],(Tabla33610673489[[#This Row],[Equity Peak]]-Tabla33610673489[[#This Row],[Equity]])/Tabla33610673489[[#This Row],[Equity Peak]],"")</f>
        <v>0.13748443337484434</v>
      </c>
      <c r="V35" s="187">
        <f t="shared" si="7"/>
        <v>0</v>
      </c>
      <c r="W35" s="187">
        <f t="shared" si="8"/>
        <v>0</v>
      </c>
      <c r="X35" s="187">
        <f t="shared" si="9"/>
        <v>1.2</v>
      </c>
      <c r="Y35" s="187">
        <f t="shared" si="10"/>
        <v>0</v>
      </c>
      <c r="Z35" s="187">
        <f t="shared" si="11"/>
        <v>0</v>
      </c>
      <c r="AA35" s="183">
        <f t="shared" si="12"/>
        <v>0</v>
      </c>
      <c r="AB35" s="187">
        <f t="shared" si="13"/>
        <v>0</v>
      </c>
      <c r="AC35" s="183">
        <f t="shared" si="14"/>
        <v>0</v>
      </c>
      <c r="AD35" s="188">
        <f t="shared" si="15"/>
        <v>0.12708333333284827</v>
      </c>
      <c r="AE35" s="188">
        <f t="shared" si="16"/>
        <v>0.12708333333284827</v>
      </c>
      <c r="AF35" s="188">
        <f t="shared" si="17"/>
        <v>0</v>
      </c>
      <c r="AG35" s="188">
        <f t="shared" si="18"/>
        <v>0</v>
      </c>
    </row>
    <row r="36" spans="2:33" ht="15" customHeight="1" x14ac:dyDescent="0.15">
      <c r="B36" s="174" t="s">
        <v>19</v>
      </c>
      <c r="C36" s="175" t="s">
        <v>15</v>
      </c>
      <c r="D36" s="176" t="str">
        <f t="shared" si="0"/>
        <v>C</v>
      </c>
      <c r="E36" s="177" t="d">
        <v>2021-11-30T17:15:00.000</v>
      </c>
      <c r="F36" s="178" t="s">
        <v>77</v>
      </c>
      <c r="G36" s="179">
        <v>1808.03</v>
      </c>
      <c r="H36" s="179">
        <v>1802.35</v>
      </c>
      <c r="I36" s="180">
        <f t="shared" si="1"/>
        <v>5.6800000000000637</v>
      </c>
      <c r="J36" s="179">
        <v>1835.29</v>
      </c>
      <c r="K36" s="177" t="d">
        <v>2021-11-30T17:29:00.00000022351741800</v>
      </c>
      <c r="L36" s="179">
        <v>1802.35</v>
      </c>
      <c r="M36" s="181">
        <f t="shared" si="2"/>
        <v>-5.68</v>
      </c>
      <c r="N36" s="182">
        <f t="shared" si="3"/>
        <v>-1</v>
      </c>
      <c r="O36" s="183">
        <f t="shared" si="4"/>
        <v>0</v>
      </c>
      <c r="P36" s="184">
        <f t="shared" si="5"/>
        <v>0</v>
      </c>
      <c r="Q36" s="184">
        <f t="shared" si="6"/>
        <v>-1</v>
      </c>
      <c r="R3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25672.5</v>
      </c>
      <c r="T3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36" s="186">
        <f ca="1">IF(Tabla33610673489[[#This Row],[Equity]]&lt;Tabla33610673489[[#This Row],[Equity Peak]],(Tabla33610673489[[#This Row],[Equity Peak]]-Tabla33610673489[[#This Row],[Equity]])/Tabla33610673489[[#This Row],[Equity Peak]],"")</f>
        <v>0.14744707347447072</v>
      </c>
      <c r="V36" s="187">
        <f t="shared" si="7"/>
        <v>0</v>
      </c>
      <c r="W36" s="187">
        <f t="shared" si="8"/>
        <v>0</v>
      </c>
      <c r="X36" s="187">
        <f t="shared" si="9"/>
        <v>-1</v>
      </c>
      <c r="Y36" s="187">
        <f t="shared" si="10"/>
        <v>0</v>
      </c>
      <c r="Z36" s="187">
        <f t="shared" si="11"/>
        <v>0</v>
      </c>
      <c r="AA36" s="183">
        <f t="shared" si="12"/>
        <v>0</v>
      </c>
      <c r="AB36" s="187">
        <f t="shared" si="13"/>
        <v>0</v>
      </c>
      <c r="AC36" s="183">
        <f t="shared" si="14"/>
        <v>0</v>
      </c>
      <c r="AD36" s="188">
        <f t="shared" si="15"/>
        <v>9.7222222248092294E-3</v>
      </c>
      <c r="AE36" s="188">
        <f t="shared" si="16"/>
        <v>0</v>
      </c>
      <c r="AF36" s="188">
        <f t="shared" si="17"/>
        <v>9.7222222248092294E-3</v>
      </c>
      <c r="AG36" s="188">
        <f t="shared" si="18"/>
        <v>0</v>
      </c>
    </row>
    <row r="37" spans="2:33" ht="15" customHeight="1" x14ac:dyDescent="0.15">
      <c r="B37" s="174" t="s">
        <v>19</v>
      </c>
      <c r="C37" s="175" t="s">
        <v>13</v>
      </c>
      <c r="D37" s="176" t="str">
        <f t="shared" si="0"/>
        <v>C</v>
      </c>
      <c r="E37" s="177" t="d">
        <v>2021-11-29T15:45:00.000</v>
      </c>
      <c r="F37" s="178" t="s">
        <v>77</v>
      </c>
      <c r="G37" s="179">
        <v>1789.5</v>
      </c>
      <c r="H37" s="179">
        <v>1795.43</v>
      </c>
      <c r="I37" s="180">
        <f t="shared" si="1"/>
        <v>5.9300000000000637</v>
      </c>
      <c r="J37" s="179">
        <v>1761.06</v>
      </c>
      <c r="K37" s="177" t="d">
        <v>2021-11-30T07:44:59.99999979045242400</v>
      </c>
      <c r="L37" s="179">
        <v>1794.1</v>
      </c>
      <c r="M37" s="181">
        <f t="shared" si="2"/>
        <v>-4.5999999999999996</v>
      </c>
      <c r="N37" s="182">
        <f t="shared" si="3"/>
        <v>-0.78</v>
      </c>
      <c r="O37" s="183">
        <f t="shared" si="4"/>
        <v>0</v>
      </c>
      <c r="P37" s="184">
        <f t="shared" si="5"/>
        <v>0</v>
      </c>
      <c r="Q37" s="184">
        <f t="shared" si="6"/>
        <v>-0.78</v>
      </c>
      <c r="R3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25922.5</v>
      </c>
      <c r="T3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37" s="186">
        <f ca="1">IF(Tabla33610673489[[#This Row],[Equity]]&lt;Tabla33610673489[[#This Row],[Equity Peak]],(Tabla33610673489[[#This Row],[Equity Peak]]-Tabla33610673489[[#This Row],[Equity]])/Tabla33610673489[[#This Row],[Equity Peak]],"")</f>
        <v>0.13914487339144874</v>
      </c>
      <c r="V37" s="187">
        <f t="shared" si="7"/>
        <v>0</v>
      </c>
      <c r="W37" s="187">
        <f t="shared" si="8"/>
        <v>0</v>
      </c>
      <c r="X37" s="187">
        <f t="shared" si="9"/>
        <v>-0.78</v>
      </c>
      <c r="Y37" s="187">
        <f t="shared" si="10"/>
        <v>0</v>
      </c>
      <c r="Z37" s="187">
        <f t="shared" si="11"/>
        <v>0</v>
      </c>
      <c r="AA37" s="183">
        <f t="shared" si="12"/>
        <v>0</v>
      </c>
      <c r="AB37" s="187">
        <f t="shared" si="13"/>
        <v>0</v>
      </c>
      <c r="AC37" s="183">
        <f t="shared" si="14"/>
        <v>0</v>
      </c>
      <c r="AD37" s="188">
        <f t="shared" si="15"/>
        <v>0.66666666666424135</v>
      </c>
      <c r="AE37" s="188">
        <f t="shared" si="16"/>
        <v>0</v>
      </c>
      <c r="AF37" s="188">
        <f t="shared" si="17"/>
        <v>0.66666666666424135</v>
      </c>
      <c r="AG37" s="188">
        <f t="shared" si="18"/>
        <v>0</v>
      </c>
    </row>
    <row r="38" spans="2:33" ht="15" customHeight="1" x14ac:dyDescent="0.15">
      <c r="B38" s="174" t="s">
        <v>19</v>
      </c>
      <c r="C38" s="175" t="s">
        <v>13</v>
      </c>
      <c r="D38" s="176" t="str">
        <f t="shared" si="0"/>
        <v>C</v>
      </c>
      <c r="E38" s="177" t="d">
        <v>2021-11-26T18:45:00.000</v>
      </c>
      <c r="F38" s="178" t="s">
        <v>77</v>
      </c>
      <c r="G38" s="179">
        <v>1785.58</v>
      </c>
      <c r="H38" s="179">
        <v>1791.58</v>
      </c>
      <c r="I38" s="180">
        <f t="shared" si="1"/>
        <v>6</v>
      </c>
      <c r="J38" s="179">
        <v>1756.76</v>
      </c>
      <c r="K38" s="177" t="d">
        <v>2021-11-26T20:41:00.00000005587935450</v>
      </c>
      <c r="L38" s="179">
        <v>1791.58</v>
      </c>
      <c r="M38" s="181">
        <f t="shared" si="2"/>
        <v>-6</v>
      </c>
      <c r="N38" s="182">
        <f t="shared" si="3"/>
        <v>-1</v>
      </c>
      <c r="O38" s="183">
        <f t="shared" si="4"/>
        <v>0</v>
      </c>
      <c r="P38" s="184">
        <f t="shared" si="5"/>
        <v>0</v>
      </c>
      <c r="Q38" s="184">
        <f t="shared" si="6"/>
        <v>-1</v>
      </c>
      <c r="R3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26117.5</v>
      </c>
      <c r="T3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38" s="186">
        <f ca="1">IF(Tabla33610673489[[#This Row],[Equity]]&lt;Tabla33610673489[[#This Row],[Equity Peak]],(Tabla33610673489[[#This Row],[Equity Peak]]-Tabla33610673489[[#This Row],[Equity]])/Tabla33610673489[[#This Row],[Equity Peak]],"")</f>
        <v>0.13266915732669157</v>
      </c>
      <c r="V38" s="187">
        <f t="shared" si="7"/>
        <v>0</v>
      </c>
      <c r="W38" s="187">
        <f t="shared" si="8"/>
        <v>0</v>
      </c>
      <c r="X38" s="187">
        <f t="shared" si="9"/>
        <v>-1</v>
      </c>
      <c r="Y38" s="187">
        <f t="shared" si="10"/>
        <v>0</v>
      </c>
      <c r="Z38" s="187">
        <f t="shared" si="11"/>
        <v>0</v>
      </c>
      <c r="AA38" s="183">
        <f t="shared" si="12"/>
        <v>0</v>
      </c>
      <c r="AB38" s="187">
        <f t="shared" si="13"/>
        <v>0</v>
      </c>
      <c r="AC38" s="183">
        <f t="shared" si="14"/>
        <v>0</v>
      </c>
      <c r="AD38" s="188">
        <f t="shared" si="15"/>
        <v>8.0555555556202307E-2</v>
      </c>
      <c r="AE38" s="188">
        <f t="shared" si="16"/>
        <v>0</v>
      </c>
      <c r="AF38" s="188">
        <f t="shared" si="17"/>
        <v>8.0555555556202307E-2</v>
      </c>
      <c r="AG38" s="188">
        <f t="shared" si="18"/>
        <v>0</v>
      </c>
    </row>
    <row r="39" spans="2:33" ht="15" customHeight="1" x14ac:dyDescent="0.15">
      <c r="B39" s="174" t="s">
        <v>19</v>
      </c>
      <c r="C39" s="175" t="s">
        <v>15</v>
      </c>
      <c r="D39" s="176" t="str">
        <f t="shared" si="0"/>
        <v>C</v>
      </c>
      <c r="E39" s="177" t="d">
        <v>2021-11-26T13:30:00.000</v>
      </c>
      <c r="F39" s="178" t="s">
        <v>77</v>
      </c>
      <c r="G39" s="179">
        <v>1813.94</v>
      </c>
      <c r="H39" s="179">
        <v>1808.32</v>
      </c>
      <c r="I39" s="180">
        <f t="shared" si="1"/>
        <v>5.6200000000001182</v>
      </c>
      <c r="J39" s="179">
        <v>1840.91</v>
      </c>
      <c r="K39" s="177" t="d">
        <v>2021-11-26T14:12:00.0000000419095125</v>
      </c>
      <c r="L39" s="179">
        <v>1808.32</v>
      </c>
      <c r="M39" s="181">
        <f t="shared" si="2"/>
        <v>-5.62</v>
      </c>
      <c r="N39" s="182">
        <f t="shared" si="3"/>
        <v>-1</v>
      </c>
      <c r="O39" s="183">
        <f t="shared" si="4"/>
        <v>0</v>
      </c>
      <c r="P39" s="184">
        <f t="shared" si="5"/>
        <v>0</v>
      </c>
      <c r="Q39" s="184">
        <f t="shared" si="6"/>
        <v>-1</v>
      </c>
      <c r="R3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26367.5</v>
      </c>
      <c r="T3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39" s="186">
        <f ca="1">IF(Tabla33610673489[[#This Row],[Equity]]&lt;Tabla33610673489[[#This Row],[Equity Peak]],(Tabla33610673489[[#This Row],[Equity Peak]]-Tabla33610673489[[#This Row],[Equity]])/Tabla33610673489[[#This Row],[Equity Peak]],"")</f>
        <v>0.12436695724366957</v>
      </c>
      <c r="V39" s="187">
        <f t="shared" si="7"/>
        <v>0</v>
      </c>
      <c r="W39" s="187">
        <f t="shared" si="8"/>
        <v>0</v>
      </c>
      <c r="X39" s="187">
        <f t="shared" si="9"/>
        <v>-1</v>
      </c>
      <c r="Y39" s="187">
        <f t="shared" si="10"/>
        <v>0</v>
      </c>
      <c r="Z39" s="187">
        <f t="shared" si="11"/>
        <v>0</v>
      </c>
      <c r="AA39" s="183">
        <f t="shared" si="12"/>
        <v>0</v>
      </c>
      <c r="AB39" s="187">
        <f t="shared" si="13"/>
        <v>0</v>
      </c>
      <c r="AC39" s="183">
        <f t="shared" si="14"/>
        <v>0</v>
      </c>
      <c r="AD39" s="188">
        <f t="shared" si="15"/>
        <v>2.9166666667151731E-2</v>
      </c>
      <c r="AE39" s="188">
        <f t="shared" si="16"/>
        <v>0</v>
      </c>
      <c r="AF39" s="188">
        <f t="shared" si="17"/>
        <v>2.9166666667151731E-2</v>
      </c>
      <c r="AG39" s="188">
        <f t="shared" si="18"/>
        <v>0</v>
      </c>
    </row>
    <row r="40" spans="2:33" ht="15" customHeight="1" x14ac:dyDescent="0.15">
      <c r="B40" s="174" t="s">
        <v>19</v>
      </c>
      <c r="C40" s="175" t="s">
        <v>13</v>
      </c>
      <c r="D40" s="176" t="str">
        <f t="shared" si="0"/>
        <v>C</v>
      </c>
      <c r="E40" s="177" t="d">
        <v>2021-11-22T16:15:00.00000020954757600</v>
      </c>
      <c r="F40" s="178" t="s">
        <v>77</v>
      </c>
      <c r="G40" s="179">
        <v>1828.71</v>
      </c>
      <c r="H40" s="179">
        <v>1833.98</v>
      </c>
      <c r="I40" s="180">
        <f t="shared" si="1"/>
        <v>5.2699999999999818</v>
      </c>
      <c r="J40" s="179">
        <v>1803.43</v>
      </c>
      <c r="K40" s="177" t="d">
        <v>2021-11-22T16:47:59.99999974854290475</v>
      </c>
      <c r="L40" s="179">
        <v>1823.16</v>
      </c>
      <c r="M40" s="181">
        <f t="shared" si="2"/>
        <v>5.55</v>
      </c>
      <c r="N40" s="182">
        <f t="shared" si="3"/>
        <v>1.05</v>
      </c>
      <c r="O40" s="183">
        <f t="shared" si="4"/>
        <v>0</v>
      </c>
      <c r="P40" s="184">
        <f t="shared" si="5"/>
        <v>1.05</v>
      </c>
      <c r="Q40" s="184">
        <f t="shared" si="6"/>
        <v>0</v>
      </c>
      <c r="R4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26617.5</v>
      </c>
      <c r="T4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40" s="186">
        <f ca="1">IF(Tabla33610673489[[#This Row],[Equity]]&lt;Tabla33610673489[[#This Row],[Equity Peak]],(Tabla33610673489[[#This Row],[Equity Peak]]-Tabla33610673489[[#This Row],[Equity]])/Tabla33610673489[[#This Row],[Equity Peak]],"")</f>
        <v>0.11606475716064757</v>
      </c>
      <c r="V40" s="187">
        <f t="shared" si="7"/>
        <v>0</v>
      </c>
      <c r="W40" s="187">
        <f t="shared" si="8"/>
        <v>0</v>
      </c>
      <c r="X40" s="187">
        <f t="shared" si="9"/>
        <v>1.05</v>
      </c>
      <c r="Y40" s="187">
        <f t="shared" si="10"/>
        <v>0</v>
      </c>
      <c r="Z40" s="187">
        <f t="shared" si="11"/>
        <v>0</v>
      </c>
      <c r="AA40" s="183">
        <f t="shared" si="12"/>
        <v>0</v>
      </c>
      <c r="AB40" s="187">
        <f t="shared" si="13"/>
        <v>0</v>
      </c>
      <c r="AC40" s="183">
        <f t="shared" si="14"/>
        <v>0</v>
      </c>
      <c r="AD40" s="188">
        <f t="shared" si="15"/>
        <v>2.2916666661330964E-2</v>
      </c>
      <c r="AE40" s="188">
        <f t="shared" si="16"/>
        <v>2.2916666661330964E-2</v>
      </c>
      <c r="AF40" s="188">
        <f t="shared" si="17"/>
        <v>0</v>
      </c>
      <c r="AG40" s="188">
        <f t="shared" si="18"/>
        <v>0</v>
      </c>
    </row>
    <row r="41" spans="2:33" ht="15" customHeight="1" x14ac:dyDescent="0.15">
      <c r="B41" s="174" t="s">
        <v>19</v>
      </c>
      <c r="C41" s="175" t="s">
        <v>13</v>
      </c>
      <c r="D41" s="176" t="str">
        <f t="shared" si="0"/>
        <v>C</v>
      </c>
      <c r="E41" s="177" t="d">
        <v>2021-11-22T12:45:00.000</v>
      </c>
      <c r="F41" s="178" t="s">
        <v>77</v>
      </c>
      <c r="G41" s="179">
        <v>1837.99</v>
      </c>
      <c r="H41" s="179">
        <v>1843.1</v>
      </c>
      <c r="I41" s="180">
        <f t="shared" si="1"/>
        <v>5.1099999999999</v>
      </c>
      <c r="J41" s="179">
        <v>1813.46</v>
      </c>
      <c r="K41" s="177" t="d">
        <v>2021-11-22T13:53:00.000000097788870375</v>
      </c>
      <c r="L41" s="179">
        <v>1843.1</v>
      </c>
      <c r="M41" s="181">
        <f t="shared" si="2"/>
        <v>-5.1100000000000003</v>
      </c>
      <c r="N41" s="182">
        <f t="shared" si="3"/>
        <v>-1</v>
      </c>
      <c r="O41" s="183">
        <f t="shared" si="4"/>
        <v>0</v>
      </c>
      <c r="P41" s="184">
        <f t="shared" si="5"/>
        <v>0</v>
      </c>
      <c r="Q41" s="184">
        <f t="shared" si="6"/>
        <v>-1</v>
      </c>
      <c r="R4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26355</v>
      </c>
      <c r="T4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41" s="186">
        <f ca="1">IF(Tabla33610673489[[#This Row],[Equity]]&lt;Tabla33610673489[[#This Row],[Equity Peak]],(Tabla33610673489[[#This Row],[Equity Peak]]-Tabla33610673489[[#This Row],[Equity]])/Tabla33610673489[[#This Row],[Equity Peak]],"")</f>
        <v>0.12478206724782068</v>
      </c>
      <c r="V41" s="187">
        <f t="shared" si="7"/>
        <v>0</v>
      </c>
      <c r="W41" s="187">
        <f t="shared" si="8"/>
        <v>0</v>
      </c>
      <c r="X41" s="187">
        <f t="shared" si="9"/>
        <v>-1</v>
      </c>
      <c r="Y41" s="187">
        <f t="shared" si="10"/>
        <v>0</v>
      </c>
      <c r="Z41" s="187">
        <f t="shared" si="11"/>
        <v>0</v>
      </c>
      <c r="AA41" s="183">
        <f t="shared" si="12"/>
        <v>0</v>
      </c>
      <c r="AB41" s="187">
        <f t="shared" si="13"/>
        <v>0</v>
      </c>
      <c r="AC41" s="183">
        <f t="shared" si="14"/>
        <v>0</v>
      </c>
      <c r="AD41" s="188">
        <f t="shared" si="15"/>
        <v>4.7222222223354038E-2</v>
      </c>
      <c r="AE41" s="188">
        <f t="shared" si="16"/>
        <v>0</v>
      </c>
      <c r="AF41" s="188">
        <f t="shared" si="17"/>
        <v>4.7222222223354038E-2</v>
      </c>
      <c r="AG41" s="188">
        <f t="shared" si="18"/>
        <v>0</v>
      </c>
    </row>
    <row r="42" spans="2:33" ht="15" customHeight="1" x14ac:dyDescent="0.15">
      <c r="B42" s="174" t="s">
        <v>19</v>
      </c>
      <c r="C42" s="175" t="s">
        <v>13</v>
      </c>
      <c r="D42" s="176" t="str">
        <f t="shared" si="0"/>
        <v>C</v>
      </c>
      <c r="E42" s="177" t="d">
        <v>2021-11-19T19:44:59.99999979045242400</v>
      </c>
      <c r="F42" s="178" t="s">
        <v>77</v>
      </c>
      <c r="G42" s="179">
        <v>1843.7</v>
      </c>
      <c r="H42" s="179">
        <v>1848.91</v>
      </c>
      <c r="I42" s="180">
        <f t="shared" si="1"/>
        <v>5.2100000000000364</v>
      </c>
      <c r="J42" s="179">
        <v>1818.67</v>
      </c>
      <c r="K42" s="177" t="d">
        <v>2021-11-19T20:16:00.00000019557774075</v>
      </c>
      <c r="L42" s="179">
        <v>1848.91</v>
      </c>
      <c r="M42" s="181">
        <f t="shared" si="2"/>
        <v>-5.21</v>
      </c>
      <c r="N42" s="182">
        <f t="shared" si="3"/>
        <v>-1</v>
      </c>
      <c r="O42" s="183">
        <f t="shared" si="4"/>
        <v>0</v>
      </c>
      <c r="P42" s="184">
        <f t="shared" si="5"/>
        <v>0</v>
      </c>
      <c r="Q42" s="184">
        <f t="shared" si="6"/>
        <v>-1</v>
      </c>
      <c r="R4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26605</v>
      </c>
      <c r="T4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42" s="186">
        <f ca="1">IF(Tabla33610673489[[#This Row],[Equity]]&lt;Tabla33610673489[[#This Row],[Equity Peak]],(Tabla33610673489[[#This Row],[Equity Peak]]-Tabla33610673489[[#This Row],[Equity]])/Tabla33610673489[[#This Row],[Equity Peak]],"")</f>
        <v>0.11647986716479868</v>
      </c>
      <c r="V42" s="187">
        <f t="shared" si="7"/>
        <v>0</v>
      </c>
      <c r="W42" s="187">
        <f t="shared" si="8"/>
        <v>0</v>
      </c>
      <c r="X42" s="187">
        <f t="shared" si="9"/>
        <v>-1</v>
      </c>
      <c r="Y42" s="187">
        <f t="shared" si="10"/>
        <v>0</v>
      </c>
      <c r="Z42" s="187">
        <f t="shared" si="11"/>
        <v>0</v>
      </c>
      <c r="AA42" s="183">
        <f t="shared" si="12"/>
        <v>0</v>
      </c>
      <c r="AB42" s="187">
        <f t="shared" si="13"/>
        <v>0</v>
      </c>
      <c r="AC42" s="183">
        <f t="shared" si="14"/>
        <v>0</v>
      </c>
      <c r="AD42" s="188">
        <f t="shared" si="15"/>
        <v>2.1527777782466728E-2</v>
      </c>
      <c r="AE42" s="188">
        <f t="shared" si="16"/>
        <v>0</v>
      </c>
      <c r="AF42" s="188">
        <f t="shared" si="17"/>
        <v>2.1527777782466728E-2</v>
      </c>
      <c r="AG42" s="188">
        <f t="shared" si="18"/>
        <v>0</v>
      </c>
    </row>
    <row r="43" spans="2:33" ht="15" customHeight="1" x14ac:dyDescent="0.15">
      <c r="B43" s="174" t="s">
        <v>19</v>
      </c>
      <c r="C43" s="175" t="s">
        <v>15</v>
      </c>
      <c r="D43" s="176" t="str">
        <f t="shared" si="0"/>
        <v>C</v>
      </c>
      <c r="E43" s="177" t="d">
        <v>2021-11-19T12:00:00.000</v>
      </c>
      <c r="F43" s="178" t="s">
        <v>77</v>
      </c>
      <c r="G43" s="179">
        <v>1864.36</v>
      </c>
      <c r="H43" s="179">
        <v>1859.37</v>
      </c>
      <c r="I43" s="180">
        <f t="shared" si="1"/>
        <v>4.9900000000000091</v>
      </c>
      <c r="J43" s="179">
        <v>1888.3</v>
      </c>
      <c r="K43" s="177" t="d">
        <v>2021-11-19T12:43:00.00000023748725325</v>
      </c>
      <c r="L43" s="179">
        <v>1859.37</v>
      </c>
      <c r="M43" s="181">
        <f t="shared" si="2"/>
        <v>-4.99</v>
      </c>
      <c r="N43" s="182">
        <f t="shared" si="3"/>
        <v>-1</v>
      </c>
      <c r="O43" s="183">
        <f t="shared" si="4"/>
        <v>0</v>
      </c>
      <c r="P43" s="184">
        <f t="shared" si="5"/>
        <v>0</v>
      </c>
      <c r="Q43" s="184">
        <f t="shared" si="6"/>
        <v>-1</v>
      </c>
      <c r="R4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26855</v>
      </c>
      <c r="T4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43" s="186">
        <f ca="1">IF(Tabla33610673489[[#This Row],[Equity]]&lt;Tabla33610673489[[#This Row],[Equity Peak]],(Tabla33610673489[[#This Row],[Equity Peak]]-Tabla33610673489[[#This Row],[Equity]])/Tabla33610673489[[#This Row],[Equity Peak]],"")</f>
        <v>0.10817766708177667</v>
      </c>
      <c r="V43" s="187">
        <f t="shared" si="7"/>
        <v>0</v>
      </c>
      <c r="W43" s="187">
        <f t="shared" si="8"/>
        <v>0</v>
      </c>
      <c r="X43" s="187">
        <f t="shared" si="9"/>
        <v>-1</v>
      </c>
      <c r="Y43" s="187">
        <f t="shared" si="10"/>
        <v>0</v>
      </c>
      <c r="Z43" s="187">
        <f t="shared" si="11"/>
        <v>0</v>
      </c>
      <c r="AA43" s="183">
        <f t="shared" si="12"/>
        <v>0</v>
      </c>
      <c r="AB43" s="187">
        <f t="shared" si="13"/>
        <v>0</v>
      </c>
      <c r="AC43" s="183">
        <f t="shared" si="14"/>
        <v>0</v>
      </c>
      <c r="AD43" s="188">
        <f t="shared" si="15"/>
        <v>2.9861111113859806E-2</v>
      </c>
      <c r="AE43" s="188">
        <f t="shared" si="16"/>
        <v>0</v>
      </c>
      <c r="AF43" s="188">
        <f t="shared" si="17"/>
        <v>2.9861111113859806E-2</v>
      </c>
      <c r="AG43" s="188">
        <f t="shared" si="18"/>
        <v>0</v>
      </c>
    </row>
    <row r="44" spans="2:33" ht="15" customHeight="1" x14ac:dyDescent="0.15">
      <c r="B44" s="174" t="s">
        <v>19</v>
      </c>
      <c r="C44" s="175" t="s">
        <v>13</v>
      </c>
      <c r="D44" s="176" t="str">
        <f t="shared" si="0"/>
        <v>C</v>
      </c>
      <c r="E44" s="177" t="d">
        <v>2021-11-19T11:00:00.00000020954757600</v>
      </c>
      <c r="F44" s="178" t="s">
        <v>77</v>
      </c>
      <c r="G44" s="179">
        <v>1853.83</v>
      </c>
      <c r="H44" s="179">
        <v>1858.74</v>
      </c>
      <c r="I44" s="180">
        <f t="shared" si="1"/>
        <v>4.9100000000000819</v>
      </c>
      <c r="J44" s="179">
        <v>1830.26</v>
      </c>
      <c r="K44" s="177" t="d">
        <v>2021-11-19T11:26:59.99999983236193650</v>
      </c>
      <c r="L44" s="179">
        <v>1858.74</v>
      </c>
      <c r="M44" s="181">
        <f t="shared" si="2"/>
        <v>-4.91</v>
      </c>
      <c r="N44" s="182">
        <f t="shared" si="3"/>
        <v>-1</v>
      </c>
      <c r="O44" s="183">
        <f t="shared" si="4"/>
        <v>0</v>
      </c>
      <c r="P44" s="184">
        <f t="shared" si="5"/>
        <v>0</v>
      </c>
      <c r="Q44" s="184">
        <f t="shared" si="6"/>
        <v>-1</v>
      </c>
      <c r="R4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27105</v>
      </c>
      <c r="T4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44" s="186">
        <f ca="1">IF(Tabla33610673489[[#This Row],[Equity]]&lt;Tabla33610673489[[#This Row],[Equity Peak]],(Tabla33610673489[[#This Row],[Equity Peak]]-Tabla33610673489[[#This Row],[Equity]])/Tabla33610673489[[#This Row],[Equity Peak]],"")</f>
        <v>9.9875466998754672E-2</v>
      </c>
      <c r="V44" s="187">
        <f t="shared" si="7"/>
        <v>0</v>
      </c>
      <c r="W44" s="187">
        <f t="shared" si="8"/>
        <v>0</v>
      </c>
      <c r="X44" s="187">
        <f t="shared" si="9"/>
        <v>-1</v>
      </c>
      <c r="Y44" s="187">
        <f t="shared" si="10"/>
        <v>0</v>
      </c>
      <c r="Z44" s="187">
        <f t="shared" si="11"/>
        <v>0</v>
      </c>
      <c r="AA44" s="183">
        <f t="shared" si="12"/>
        <v>0</v>
      </c>
      <c r="AB44" s="187">
        <f t="shared" si="13"/>
        <v>0</v>
      </c>
      <c r="AC44" s="183">
        <f t="shared" si="14"/>
        <v>0</v>
      </c>
      <c r="AD44" s="188">
        <f t="shared" si="15"/>
        <v>1.8749999995634425E-2</v>
      </c>
      <c r="AE44" s="188">
        <f t="shared" si="16"/>
        <v>0</v>
      </c>
      <c r="AF44" s="188">
        <f t="shared" si="17"/>
        <v>1.8749999995634425E-2</v>
      </c>
      <c r="AG44" s="188">
        <f t="shared" si="18"/>
        <v>0</v>
      </c>
    </row>
    <row r="45" spans="2:33" ht="15" customHeight="1" x14ac:dyDescent="0.15">
      <c r="B45" s="174" t="s">
        <v>19</v>
      </c>
      <c r="C45" s="175" t="s">
        <v>15</v>
      </c>
      <c r="D45" s="176" t="str">
        <f t="shared" si="0"/>
        <v>C</v>
      </c>
      <c r="E45" s="177" t="d">
        <v>2021-11-17T09:30:00.00000020954757600</v>
      </c>
      <c r="F45" s="178" t="s">
        <v>77</v>
      </c>
      <c r="G45" s="179">
        <v>1857.22</v>
      </c>
      <c r="H45" s="179">
        <v>1851.91</v>
      </c>
      <c r="I45" s="180">
        <f t="shared" si="1"/>
        <v>5.3099999999999454</v>
      </c>
      <c r="J45" s="179">
        <v>1882.7</v>
      </c>
      <c r="K45" s="177" t="d">
        <v>2021-11-18T05:06:59.99999969266355025</v>
      </c>
      <c r="L45" s="179">
        <v>1864.85</v>
      </c>
      <c r="M45" s="181">
        <f t="shared" si="2"/>
        <v>7.63</v>
      </c>
      <c r="N45" s="182">
        <f t="shared" si="3"/>
        <v>1.44</v>
      </c>
      <c r="O45" s="183">
        <f t="shared" si="4"/>
        <v>0</v>
      </c>
      <c r="P45" s="184">
        <f t="shared" si="5"/>
        <v>1.44</v>
      </c>
      <c r="Q45" s="184">
        <f t="shared" si="6"/>
        <v>0</v>
      </c>
      <c r="R4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27355</v>
      </c>
      <c r="T4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45" s="186">
        <f ca="1">IF(Tabla33610673489[[#This Row],[Equity]]&lt;Tabla33610673489[[#This Row],[Equity Peak]],(Tabla33610673489[[#This Row],[Equity Peak]]-Tabla33610673489[[#This Row],[Equity]])/Tabla33610673489[[#This Row],[Equity Peak]],"")</f>
        <v>9.1573266915732671E-2</v>
      </c>
      <c r="V45" s="187">
        <f t="shared" si="7"/>
        <v>0</v>
      </c>
      <c r="W45" s="187">
        <f t="shared" si="8"/>
        <v>0</v>
      </c>
      <c r="X45" s="187">
        <f t="shared" si="9"/>
        <v>1.44</v>
      </c>
      <c r="Y45" s="187">
        <f t="shared" si="10"/>
        <v>0</v>
      </c>
      <c r="Z45" s="187">
        <f t="shared" si="11"/>
        <v>0</v>
      </c>
      <c r="AA45" s="183">
        <f t="shared" si="12"/>
        <v>0</v>
      </c>
      <c r="AB45" s="187">
        <f t="shared" si="13"/>
        <v>0</v>
      </c>
      <c r="AC45" s="183">
        <f t="shared" si="14"/>
        <v>0</v>
      </c>
      <c r="AD45" s="188">
        <f t="shared" si="15"/>
        <v>0.81736111110512866</v>
      </c>
      <c r="AE45" s="188">
        <f t="shared" si="16"/>
        <v>0.81736111110512866</v>
      </c>
      <c r="AF45" s="188">
        <f t="shared" si="17"/>
        <v>0</v>
      </c>
      <c r="AG45" s="188">
        <f t="shared" si="18"/>
        <v>0</v>
      </c>
    </row>
    <row r="46" spans="2:33" ht="15" customHeight="1" x14ac:dyDescent="0.15">
      <c r="B46" s="174" t="s">
        <v>19</v>
      </c>
      <c r="C46" s="175" t="s">
        <v>15</v>
      </c>
      <c r="D46" s="176" t="str">
        <f t="shared" si="0"/>
        <v>C</v>
      </c>
      <c r="E46" s="177" t="d">
        <v>2021-11-16T11:00:00.00000020954757600</v>
      </c>
      <c r="F46" s="178" t="s">
        <v>77</v>
      </c>
      <c r="G46" s="179">
        <v>1872.32</v>
      </c>
      <c r="H46" s="179">
        <v>1867.1</v>
      </c>
      <c r="I46" s="180">
        <f t="shared" si="1"/>
        <v>5.2200000000000273</v>
      </c>
      <c r="J46" s="179">
        <v>1897.39</v>
      </c>
      <c r="K46" s="177" t="d">
        <v>2021-11-16T15:56:59.99999983236193650</v>
      </c>
      <c r="L46" s="179">
        <v>1867.1</v>
      </c>
      <c r="M46" s="181">
        <f t="shared" si="2"/>
        <v>-5.22</v>
      </c>
      <c r="N46" s="182">
        <f t="shared" si="3"/>
        <v>-1</v>
      </c>
      <c r="O46" s="183">
        <f t="shared" si="4"/>
        <v>0</v>
      </c>
      <c r="P46" s="184">
        <f t="shared" si="5"/>
        <v>0</v>
      </c>
      <c r="Q46" s="184">
        <f t="shared" si="6"/>
        <v>-1</v>
      </c>
      <c r="R4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26995</v>
      </c>
      <c r="T4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46" s="186">
        <f ca="1">IF(Tabla33610673489[[#This Row],[Equity]]&lt;Tabla33610673489[[#This Row],[Equity Peak]],(Tabla33610673489[[#This Row],[Equity Peak]]-Tabla33610673489[[#This Row],[Equity]])/Tabla33610673489[[#This Row],[Equity Peak]],"")</f>
        <v>0.10352843503528435</v>
      </c>
      <c r="V46" s="187">
        <f t="shared" si="7"/>
        <v>0</v>
      </c>
      <c r="W46" s="187">
        <f t="shared" si="8"/>
        <v>0</v>
      </c>
      <c r="X46" s="187">
        <f t="shared" si="9"/>
        <v>-1</v>
      </c>
      <c r="Y46" s="187">
        <f t="shared" si="10"/>
        <v>0</v>
      </c>
      <c r="Z46" s="187">
        <f t="shared" si="11"/>
        <v>0</v>
      </c>
      <c r="AA46" s="183">
        <f t="shared" si="12"/>
        <v>0</v>
      </c>
      <c r="AB46" s="187">
        <f t="shared" si="13"/>
        <v>0</v>
      </c>
      <c r="AC46" s="183">
        <f t="shared" si="14"/>
        <v>0</v>
      </c>
      <c r="AD46" s="188">
        <f t="shared" si="15"/>
        <v>0.20624999999563443</v>
      </c>
      <c r="AE46" s="188">
        <f t="shared" si="16"/>
        <v>0</v>
      </c>
      <c r="AF46" s="188">
        <f t="shared" si="17"/>
        <v>0.20624999999563443</v>
      </c>
      <c r="AG46" s="188">
        <f t="shared" si="18"/>
        <v>0</v>
      </c>
    </row>
    <row r="47" spans="2:33" ht="15" customHeight="1" x14ac:dyDescent="0.15">
      <c r="B47" s="174" t="s">
        <v>19</v>
      </c>
      <c r="C47" s="175" t="s">
        <v>15</v>
      </c>
      <c r="D47" s="176" t="str">
        <f t="shared" si="0"/>
        <v>C</v>
      </c>
      <c r="E47" s="177" t="d">
        <v>2021-11-15T15:14:59.99999979045242400</v>
      </c>
      <c r="F47" s="178" t="s">
        <v>77</v>
      </c>
      <c r="G47" s="179">
        <v>1868.31</v>
      </c>
      <c r="H47" s="179">
        <v>1863.12</v>
      </c>
      <c r="I47" s="180">
        <f t="shared" si="1"/>
        <v>5.1900000000000546</v>
      </c>
      <c r="J47" s="179">
        <v>1893.21</v>
      </c>
      <c r="K47" s="177" t="d">
        <v>2021-11-15T15:40:00.0000002793967725</v>
      </c>
      <c r="L47" s="179">
        <v>1863.12</v>
      </c>
      <c r="M47" s="181">
        <f t="shared" si="2"/>
        <v>-5.19</v>
      </c>
      <c r="N47" s="182">
        <f t="shared" si="3"/>
        <v>-1</v>
      </c>
      <c r="O47" s="183">
        <f t="shared" si="4"/>
        <v>0</v>
      </c>
      <c r="P47" s="184">
        <f t="shared" si="5"/>
        <v>0</v>
      </c>
      <c r="Q47" s="184">
        <f t="shared" si="6"/>
        <v>-1</v>
      </c>
      <c r="R4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27245</v>
      </c>
      <c r="T4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47" s="186">
        <f ca="1">IF(Tabla33610673489[[#This Row],[Equity]]&lt;Tabla33610673489[[#This Row],[Equity Peak]],(Tabla33610673489[[#This Row],[Equity Peak]]-Tabla33610673489[[#This Row],[Equity]])/Tabla33610673489[[#This Row],[Equity Peak]],"")</f>
        <v>9.5226234952262345E-2</v>
      </c>
      <c r="V47" s="187">
        <f t="shared" si="7"/>
        <v>0</v>
      </c>
      <c r="W47" s="187">
        <f t="shared" si="8"/>
        <v>0</v>
      </c>
      <c r="X47" s="187">
        <f t="shared" si="9"/>
        <v>-1</v>
      </c>
      <c r="Y47" s="187">
        <f t="shared" si="10"/>
        <v>0</v>
      </c>
      <c r="Z47" s="187">
        <f t="shared" si="11"/>
        <v>0</v>
      </c>
      <c r="AA47" s="183">
        <f t="shared" si="12"/>
        <v>0</v>
      </c>
      <c r="AB47" s="187">
        <f t="shared" si="13"/>
        <v>0</v>
      </c>
      <c r="AC47" s="183">
        <f t="shared" si="14"/>
        <v>0</v>
      </c>
      <c r="AD47" s="188">
        <f t="shared" si="15"/>
        <v>1.7361111116770189E-2</v>
      </c>
      <c r="AE47" s="188">
        <f t="shared" si="16"/>
        <v>0</v>
      </c>
      <c r="AF47" s="188">
        <f t="shared" si="17"/>
        <v>1.7361111116770189E-2</v>
      </c>
      <c r="AG47" s="188">
        <f t="shared" si="18"/>
        <v>0</v>
      </c>
    </row>
    <row r="48" spans="2:33" ht="15" customHeight="1" x14ac:dyDescent="0.15">
      <c r="B48" s="174" t="s">
        <v>19</v>
      </c>
      <c r="C48" s="175" t="s">
        <v>15</v>
      </c>
      <c r="D48" s="176" t="str">
        <f t="shared" si="0"/>
        <v>C</v>
      </c>
      <c r="E48" s="177" t="d">
        <v>2021-11-12T17:15:00.000</v>
      </c>
      <c r="F48" s="178" t="s">
        <v>77</v>
      </c>
      <c r="G48" s="179">
        <v>1860.43</v>
      </c>
      <c r="H48" s="179">
        <v>1855.01</v>
      </c>
      <c r="I48" s="180">
        <f t="shared" si="1"/>
        <v>5.4200000000000728</v>
      </c>
      <c r="J48" s="179">
        <v>1886.43</v>
      </c>
      <c r="K48" s="177" t="d">
        <v>2021-11-15T05:45:00.00000020954757600</v>
      </c>
      <c r="L48" s="179">
        <v>1857.03</v>
      </c>
      <c r="M48" s="181">
        <f t="shared" si="2"/>
        <v>-3.4</v>
      </c>
      <c r="N48" s="182">
        <f t="shared" si="3"/>
        <v>-0.63</v>
      </c>
      <c r="O48" s="183">
        <f t="shared" si="4"/>
        <v>0</v>
      </c>
      <c r="P48" s="184">
        <f t="shared" si="5"/>
        <v>0</v>
      </c>
      <c r="Q48" s="184">
        <f t="shared" si="6"/>
        <v>-0.63</v>
      </c>
      <c r="R4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27495</v>
      </c>
      <c r="T4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48" s="186">
        <f ca="1">IF(Tabla33610673489[[#This Row],[Equity]]&lt;Tabla33610673489[[#This Row],[Equity Peak]],(Tabla33610673489[[#This Row],[Equity Peak]]-Tabla33610673489[[#This Row],[Equity]])/Tabla33610673489[[#This Row],[Equity Peak]],"")</f>
        <v>8.6924034869240344E-2</v>
      </c>
      <c r="V48" s="187">
        <f t="shared" si="7"/>
        <v>0</v>
      </c>
      <c r="W48" s="187">
        <f t="shared" si="8"/>
        <v>0</v>
      </c>
      <c r="X48" s="187">
        <f t="shared" si="9"/>
        <v>-0.63</v>
      </c>
      <c r="Y48" s="187">
        <f t="shared" si="10"/>
        <v>0</v>
      </c>
      <c r="Z48" s="187">
        <f t="shared" si="11"/>
        <v>0</v>
      </c>
      <c r="AA48" s="183">
        <f t="shared" si="12"/>
        <v>0</v>
      </c>
      <c r="AB48" s="187">
        <f t="shared" si="13"/>
        <v>0</v>
      </c>
      <c r="AC48" s="183">
        <f t="shared" si="14"/>
        <v>0</v>
      </c>
      <c r="AD48" s="188">
        <f t="shared" si="15"/>
        <v>2.5208333333357587</v>
      </c>
      <c r="AE48" s="188">
        <f t="shared" si="16"/>
        <v>0</v>
      </c>
      <c r="AF48" s="188">
        <f t="shared" si="17"/>
        <v>2.5208333333357587</v>
      </c>
      <c r="AG48" s="188">
        <f t="shared" si="18"/>
        <v>0</v>
      </c>
    </row>
    <row r="49" spans="2:33" ht="15" customHeight="1" x14ac:dyDescent="0.15">
      <c r="B49" s="174" t="s">
        <v>19</v>
      </c>
      <c r="C49" s="175" t="s">
        <v>15</v>
      </c>
      <c r="D49" s="176" t="str">
        <f t="shared" ref="D49:D80" si="19">IF(E49&lt;&gt;"",IF(K49&lt;&gt;"","C","O"),"")</f>
        <v>C</v>
      </c>
      <c r="E49" s="177" t="d">
        <v>2021-11-04T15:45:00.000</v>
      </c>
      <c r="F49" s="178" t="s">
        <v>77</v>
      </c>
      <c r="G49" s="179">
        <v>1788.24</v>
      </c>
      <c r="H49" s="179">
        <v>1783.17</v>
      </c>
      <c r="I49" s="180">
        <f t="shared" ref="I49:I80" si="20">ABS(G49-H49)</f>
        <v>5.0699999999999363</v>
      </c>
      <c r="J49" s="179">
        <v>1812.59</v>
      </c>
      <c r="K49" s="177" t="d">
        <v>2021-11-05T13:15:00.00000020954757600</v>
      </c>
      <c r="L49" s="179">
        <v>1793.63</v>
      </c>
      <c r="M49" s="181">
        <f t="shared" ref="M49:M80" si="21">ROUND(IF(C49="L",(L49-G49),(G49-L49)),4)</f>
        <v>5.39</v>
      </c>
      <c r="N49" s="182">
        <f t="shared" ref="N49:N80" si="22">IFERROR(ROUND((M49/I49),2),"")</f>
        <v>1.06</v>
      </c>
      <c r="O49" s="183">
        <f t="shared" ref="O49:O80" si="23">IF(D49="O",IF(N49&lt;0,N49,0),0)</f>
        <v>0</v>
      </c>
      <c r="P49" s="184">
        <f t="shared" ref="P49:P80" si="24">IF(N49&gt;= 0,N49,0)</f>
        <v>1.06</v>
      </c>
      <c r="Q49" s="184">
        <f t="shared" ref="Q49:Q80" si="25">IF(N49&lt;0,N49,0)</f>
        <v>0</v>
      </c>
      <c r="R4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27652.5</v>
      </c>
      <c r="T4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49" s="186">
        <f ca="1">IF(Tabla33610673489[[#This Row],[Equity]]&lt;Tabla33610673489[[#This Row],[Equity Peak]],(Tabla33610673489[[#This Row],[Equity Peak]]-Tabla33610673489[[#This Row],[Equity]])/Tabla33610673489[[#This Row],[Equity Peak]],"")</f>
        <v>8.1693648816936484E-2</v>
      </c>
      <c r="V49" s="187">
        <f t="shared" ref="V49:V80" si="26">IF(B49="FX",N49,0)</f>
        <v>0</v>
      </c>
      <c r="W49" s="187">
        <f t="shared" ref="W49:W80" si="27">IF(D49="O",IF(V49&lt;0,V49,0),0)</f>
        <v>0</v>
      </c>
      <c r="X49" s="187">
        <f t="shared" ref="X49:X80" si="28">IF(B49="COM",N49,0)</f>
        <v>1.06</v>
      </c>
      <c r="Y49" s="187">
        <f t="shared" ref="Y49:Y80" si="29">IF(D49="O",IF(X49&lt;0,X49,0),0)</f>
        <v>0</v>
      </c>
      <c r="Z49" s="187">
        <f t="shared" ref="Z49:Z80" si="30">IF(B49="IND",N49,0)</f>
        <v>0</v>
      </c>
      <c r="AA49" s="183">
        <f t="shared" ref="AA49:AA80" si="31">IF(D49="O",IF(Z49&lt;0,Z49,0),0)</f>
        <v>0</v>
      </c>
      <c r="AB49" s="187">
        <f t="shared" ref="AB49:AB80" si="32">IF(B49="CRYPTO",N49,0)</f>
        <v>0</v>
      </c>
      <c r="AC49" s="183">
        <f t="shared" ref="AC49:AC80" si="33">IF(D49="O",IF(AB49&lt;0,AB49,0),0)</f>
        <v>0</v>
      </c>
      <c r="AD49" s="188">
        <f t="shared" ref="AD49:AD80" si="34">IF(K49&lt;&gt;"",K49-E49,0)</f>
        <v>0.89583333333575865</v>
      </c>
      <c r="AE49" s="188">
        <f t="shared" ref="AE49:AE80" si="35">IF(N49&gt;0,AD49,0)</f>
        <v>0.89583333333575865</v>
      </c>
      <c r="AF49" s="188">
        <f t="shared" ref="AF49:AF80" si="36">IF(N49&lt;0,AD49,0)</f>
        <v>0</v>
      </c>
      <c r="AG49" s="188">
        <f t="shared" ref="AG49:AG80" si="37">IF(N49=0,AD49,0)</f>
        <v>0</v>
      </c>
    </row>
    <row r="50" spans="2:33" ht="15" customHeight="1" x14ac:dyDescent="0.15">
      <c r="B50" s="174" t="s">
        <v>19</v>
      </c>
      <c r="C50" s="175" t="s">
        <v>13</v>
      </c>
      <c r="D50" s="176" t="str">
        <f t="shared" si="19"/>
        <v>C</v>
      </c>
      <c r="E50" s="177" t="d">
        <v>2021-11-03T03:30:00.00000020954757600</v>
      </c>
      <c r="F50" s="178" t="s">
        <v>77</v>
      </c>
      <c r="G50" s="179">
        <v>1783.51</v>
      </c>
      <c r="H50" s="179">
        <v>1788.25</v>
      </c>
      <c r="I50" s="180">
        <f t="shared" si="20"/>
        <v>4.7400000000000091</v>
      </c>
      <c r="J50" s="179">
        <v>1760.74</v>
      </c>
      <c r="K50" s="177" t="d">
        <v>2021-11-03T17:20:59.99999991618096825</v>
      </c>
      <c r="L50" s="179">
        <v>1760.74</v>
      </c>
      <c r="M50" s="181">
        <f t="shared" si="21"/>
        <v>22.77</v>
      </c>
      <c r="N50" s="182">
        <f t="shared" si="22"/>
        <v>4.8</v>
      </c>
      <c r="O50" s="183">
        <f t="shared" si="23"/>
        <v>0</v>
      </c>
      <c r="P50" s="184">
        <f t="shared" si="24"/>
        <v>4.8</v>
      </c>
      <c r="Q50" s="184">
        <f t="shared" si="25"/>
        <v>0</v>
      </c>
      <c r="R5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27387.5</v>
      </c>
      <c r="T5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50" s="186">
        <f ca="1">IF(Tabla33610673489[[#This Row],[Equity]]&lt;Tabla33610673489[[#This Row],[Equity Peak]],(Tabla33610673489[[#This Row],[Equity Peak]]-Tabla33610673489[[#This Row],[Equity]])/Tabla33610673489[[#This Row],[Equity Peak]],"")</f>
        <v>9.0493980904939805E-2</v>
      </c>
      <c r="V50" s="187">
        <f t="shared" si="26"/>
        <v>0</v>
      </c>
      <c r="W50" s="187">
        <f t="shared" si="27"/>
        <v>0</v>
      </c>
      <c r="X50" s="187">
        <f t="shared" si="28"/>
        <v>4.8</v>
      </c>
      <c r="Y50" s="187">
        <f t="shared" si="29"/>
        <v>0</v>
      </c>
      <c r="Z50" s="187">
        <f t="shared" si="30"/>
        <v>0</v>
      </c>
      <c r="AA50" s="183">
        <f t="shared" si="31"/>
        <v>0</v>
      </c>
      <c r="AB50" s="187">
        <f t="shared" si="32"/>
        <v>0</v>
      </c>
      <c r="AC50" s="183">
        <f t="shared" si="33"/>
        <v>0</v>
      </c>
      <c r="AD50" s="188">
        <f t="shared" si="34"/>
        <v>0.57708333332993789</v>
      </c>
      <c r="AE50" s="188">
        <f t="shared" si="35"/>
        <v>0.57708333332993789</v>
      </c>
      <c r="AF50" s="188">
        <f t="shared" si="36"/>
        <v>0</v>
      </c>
      <c r="AG50" s="188">
        <f t="shared" si="37"/>
        <v>0</v>
      </c>
    </row>
    <row r="51" spans="2:33" ht="15" customHeight="1" x14ac:dyDescent="0.15">
      <c r="B51" s="174" t="s">
        <v>19</v>
      </c>
      <c r="C51" s="175" t="s">
        <v>15</v>
      </c>
      <c r="D51" s="176" t="str">
        <f t="shared" si="19"/>
        <v>C</v>
      </c>
      <c r="E51" s="177" t="d">
        <v>2021-11-01T17:00:00.00000020954757600</v>
      </c>
      <c r="F51" s="178" t="s">
        <v>77</v>
      </c>
      <c r="G51" s="179">
        <v>1792.37</v>
      </c>
      <c r="H51" s="179">
        <v>1787.47</v>
      </c>
      <c r="I51" s="180">
        <f t="shared" si="20"/>
        <v>4.8999999999998636</v>
      </c>
      <c r="J51" s="179">
        <v>1815.87</v>
      </c>
      <c r="K51" s="177" t="d">
        <v>2021-11-02T17:07:59.99999988824129100</v>
      </c>
      <c r="L51" s="179">
        <v>1787.47</v>
      </c>
      <c r="M51" s="181">
        <f t="shared" si="21"/>
        <v>-4.9000000000000004</v>
      </c>
      <c r="N51" s="182">
        <f t="shared" si="22"/>
        <v>-1</v>
      </c>
      <c r="O51" s="183">
        <f t="shared" si="23"/>
        <v>0</v>
      </c>
      <c r="P51" s="184">
        <f t="shared" si="24"/>
        <v>0</v>
      </c>
      <c r="Q51" s="184">
        <f t="shared" si="25"/>
        <v>-1</v>
      </c>
      <c r="R5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26187.5</v>
      </c>
      <c r="T5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51" s="186">
        <f ca="1">IF(Tabla33610673489[[#This Row],[Equity]]&lt;Tabla33610673489[[#This Row],[Equity Peak]],(Tabla33610673489[[#This Row],[Equity Peak]]-Tabla33610673489[[#This Row],[Equity]])/Tabla33610673489[[#This Row],[Equity Peak]],"")</f>
        <v>0.13034454130344542</v>
      </c>
      <c r="V51" s="187">
        <f t="shared" si="26"/>
        <v>0</v>
      </c>
      <c r="W51" s="187">
        <f t="shared" si="27"/>
        <v>0</v>
      </c>
      <c r="X51" s="187">
        <f t="shared" si="28"/>
        <v>-1</v>
      </c>
      <c r="Y51" s="187">
        <f t="shared" si="29"/>
        <v>0</v>
      </c>
      <c r="Z51" s="187">
        <f t="shared" si="30"/>
        <v>0</v>
      </c>
      <c r="AA51" s="183">
        <f t="shared" si="31"/>
        <v>0</v>
      </c>
      <c r="AB51" s="187">
        <f t="shared" si="32"/>
        <v>0</v>
      </c>
      <c r="AC51" s="183">
        <f t="shared" si="33"/>
        <v>0</v>
      </c>
      <c r="AD51" s="188">
        <f t="shared" si="34"/>
        <v>1.0055555555518367</v>
      </c>
      <c r="AE51" s="188">
        <f t="shared" si="35"/>
        <v>0</v>
      </c>
      <c r="AF51" s="188">
        <f t="shared" si="36"/>
        <v>1.0055555555518367</v>
      </c>
      <c r="AG51" s="188">
        <f t="shared" si="37"/>
        <v>0</v>
      </c>
    </row>
    <row r="52" spans="2:33" ht="15" customHeight="1" x14ac:dyDescent="0.15">
      <c r="B52" s="174" t="s">
        <v>19</v>
      </c>
      <c r="C52" s="175" t="s">
        <v>13</v>
      </c>
      <c r="D52" s="176" t="str">
        <f t="shared" si="19"/>
        <v>C</v>
      </c>
      <c r="E52" s="177" t="d">
        <v>2021-10-29T15:45:00.000</v>
      </c>
      <c r="F52" s="178" t="s">
        <v>77</v>
      </c>
      <c r="G52" s="179">
        <v>1783.67</v>
      </c>
      <c r="H52" s="179">
        <v>1788.67</v>
      </c>
      <c r="I52" s="180">
        <f t="shared" si="20"/>
        <v>5</v>
      </c>
      <c r="J52" s="179">
        <v>1759.69</v>
      </c>
      <c r="K52" s="177" t="d">
        <v>2021-11-01T04:44:59.99999979045242400</v>
      </c>
      <c r="L52" s="179">
        <v>1784.33</v>
      </c>
      <c r="M52" s="181">
        <f t="shared" si="21"/>
        <v>-0.66</v>
      </c>
      <c r="N52" s="182">
        <f t="shared" si="22"/>
        <v>-0.13</v>
      </c>
      <c r="O52" s="183">
        <f t="shared" si="23"/>
        <v>0</v>
      </c>
      <c r="P52" s="184">
        <f t="shared" si="24"/>
        <v>0</v>
      </c>
      <c r="Q52" s="184">
        <f t="shared" si="25"/>
        <v>-0.13</v>
      </c>
      <c r="R5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26437.5</v>
      </c>
      <c r="T5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52" s="186">
        <f ca="1">IF(Tabla33610673489[[#This Row],[Equity]]&lt;Tabla33610673489[[#This Row],[Equity Peak]],(Tabla33610673489[[#This Row],[Equity Peak]]-Tabla33610673489[[#This Row],[Equity]])/Tabla33610673489[[#This Row],[Equity Peak]],"")</f>
        <v>0.12204234122042341</v>
      </c>
      <c r="V52" s="187">
        <f t="shared" si="26"/>
        <v>0</v>
      </c>
      <c r="W52" s="187">
        <f t="shared" si="27"/>
        <v>0</v>
      </c>
      <c r="X52" s="187">
        <f t="shared" si="28"/>
        <v>-0.13</v>
      </c>
      <c r="Y52" s="187">
        <f t="shared" si="29"/>
        <v>0</v>
      </c>
      <c r="Z52" s="187">
        <f t="shared" si="30"/>
        <v>0</v>
      </c>
      <c r="AA52" s="183">
        <f t="shared" si="31"/>
        <v>0</v>
      </c>
      <c r="AB52" s="187">
        <f t="shared" si="32"/>
        <v>0</v>
      </c>
      <c r="AC52" s="183">
        <f t="shared" si="33"/>
        <v>0</v>
      </c>
      <c r="AD52" s="188">
        <f t="shared" si="34"/>
        <v>2.5416666666642413</v>
      </c>
      <c r="AE52" s="188">
        <f t="shared" si="35"/>
        <v>0</v>
      </c>
      <c r="AF52" s="188">
        <f t="shared" si="36"/>
        <v>2.5416666666642413</v>
      </c>
      <c r="AG52" s="188">
        <f t="shared" si="37"/>
        <v>0</v>
      </c>
    </row>
    <row r="53" spans="2:33" ht="15" customHeight="1" x14ac:dyDescent="0.15">
      <c r="B53" s="174" t="s">
        <v>19</v>
      </c>
      <c r="C53" s="175" t="s">
        <v>13</v>
      </c>
      <c r="D53" s="176" t="str">
        <f t="shared" si="19"/>
        <v>C</v>
      </c>
      <c r="E53" s="177" t="d">
        <v>2021-10-29T15:14:59.99999979045242400</v>
      </c>
      <c r="F53" s="178" t="s">
        <v>77</v>
      </c>
      <c r="G53" s="179">
        <v>1786.66</v>
      </c>
      <c r="H53" s="179">
        <v>1791.59</v>
      </c>
      <c r="I53" s="180">
        <f t="shared" si="20"/>
        <v>4.9299999999998363</v>
      </c>
      <c r="J53" s="179">
        <v>1763.01</v>
      </c>
      <c r="K53" s="177" t="d">
        <v>2021-10-29T15:33:00.00000016763806350</v>
      </c>
      <c r="L53" s="179">
        <v>1791.59</v>
      </c>
      <c r="M53" s="181">
        <f t="shared" si="21"/>
        <v>-4.93</v>
      </c>
      <c r="N53" s="182">
        <f t="shared" si="22"/>
        <v>-1</v>
      </c>
      <c r="O53" s="183">
        <f t="shared" si="23"/>
        <v>0</v>
      </c>
      <c r="P53" s="184">
        <f t="shared" si="24"/>
        <v>0</v>
      </c>
      <c r="Q53" s="184">
        <f t="shared" si="25"/>
        <v>-1</v>
      </c>
      <c r="R5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26470</v>
      </c>
      <c r="T5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53" s="186">
        <f ca="1">IF(Tabla33610673489[[#This Row],[Equity]]&lt;Tabla33610673489[[#This Row],[Equity Peak]],(Tabla33610673489[[#This Row],[Equity Peak]]-Tabla33610673489[[#This Row],[Equity]])/Tabla33610673489[[#This Row],[Equity Peak]],"")</f>
        <v>0.12096305520963055</v>
      </c>
      <c r="V53" s="187">
        <f t="shared" si="26"/>
        <v>0</v>
      </c>
      <c r="W53" s="187">
        <f t="shared" si="27"/>
        <v>0</v>
      </c>
      <c r="X53" s="187">
        <f t="shared" si="28"/>
        <v>-1</v>
      </c>
      <c r="Y53" s="187">
        <f t="shared" si="29"/>
        <v>0</v>
      </c>
      <c r="Z53" s="187">
        <f t="shared" si="30"/>
        <v>0</v>
      </c>
      <c r="AA53" s="183">
        <f t="shared" si="31"/>
        <v>0</v>
      </c>
      <c r="AB53" s="187">
        <f t="shared" si="32"/>
        <v>0</v>
      </c>
      <c r="AC53" s="183">
        <f t="shared" si="33"/>
        <v>0</v>
      </c>
      <c r="AD53" s="188">
        <f t="shared" si="34"/>
        <v>1.2500000004365575E-2</v>
      </c>
      <c r="AE53" s="188">
        <f t="shared" si="35"/>
        <v>0</v>
      </c>
      <c r="AF53" s="188">
        <f t="shared" si="36"/>
        <v>1.2500000004365575E-2</v>
      </c>
      <c r="AG53" s="188">
        <f t="shared" si="37"/>
        <v>0</v>
      </c>
    </row>
    <row r="54" spans="2:33" ht="15" customHeight="1" x14ac:dyDescent="0.15">
      <c r="B54" s="174" t="s">
        <v>19</v>
      </c>
      <c r="C54" s="175" t="s">
        <v>13</v>
      </c>
      <c r="D54" s="176" t="str">
        <f t="shared" si="19"/>
        <v>C</v>
      </c>
      <c r="E54" s="177" t="d">
        <v>2021-10-29T11:29:59.99999979045242400</v>
      </c>
      <c r="F54" s="178" t="s">
        <v>77</v>
      </c>
      <c r="G54" s="179">
        <v>1792.58</v>
      </c>
      <c r="H54" s="179">
        <v>1797.42</v>
      </c>
      <c r="I54" s="180">
        <f t="shared" si="20"/>
        <v>4.8400000000001455</v>
      </c>
      <c r="J54" s="179">
        <v>1769.35</v>
      </c>
      <c r="K54" s="177" t="d">
        <v>2021-10-29T12:46:59.99999976251274675</v>
      </c>
      <c r="L54" s="179">
        <v>1797.42</v>
      </c>
      <c r="M54" s="181">
        <f t="shared" si="21"/>
        <v>-4.84</v>
      </c>
      <c r="N54" s="182">
        <f t="shared" si="22"/>
        <v>-1</v>
      </c>
      <c r="O54" s="183">
        <f t="shared" si="23"/>
        <v>0</v>
      </c>
      <c r="P54" s="184">
        <f t="shared" si="24"/>
        <v>0</v>
      </c>
      <c r="Q54" s="184">
        <f t="shared" si="25"/>
        <v>-1</v>
      </c>
      <c r="R5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26720</v>
      </c>
      <c r="T5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54" s="186">
        <f ca="1">IF(Tabla33610673489[[#This Row],[Equity]]&lt;Tabla33610673489[[#This Row],[Equity Peak]],(Tabla33610673489[[#This Row],[Equity Peak]]-Tabla33610673489[[#This Row],[Equity]])/Tabla33610673489[[#This Row],[Equity Peak]],"")</f>
        <v>0.11266085512660855</v>
      </c>
      <c r="V54" s="187">
        <f t="shared" si="26"/>
        <v>0</v>
      </c>
      <c r="W54" s="187">
        <f t="shared" si="27"/>
        <v>0</v>
      </c>
      <c r="X54" s="187">
        <f t="shared" si="28"/>
        <v>-1</v>
      </c>
      <c r="Y54" s="187">
        <f t="shared" si="29"/>
        <v>0</v>
      </c>
      <c r="Z54" s="187">
        <f t="shared" si="30"/>
        <v>0</v>
      </c>
      <c r="AA54" s="183">
        <f t="shared" si="31"/>
        <v>0</v>
      </c>
      <c r="AB54" s="187">
        <f t="shared" si="32"/>
        <v>0</v>
      </c>
      <c r="AC54" s="183">
        <f t="shared" si="33"/>
        <v>0</v>
      </c>
      <c r="AD54" s="188">
        <f t="shared" si="34"/>
        <v>5.3472222221898846E-2</v>
      </c>
      <c r="AE54" s="188">
        <f t="shared" si="35"/>
        <v>0</v>
      </c>
      <c r="AF54" s="188">
        <f t="shared" si="36"/>
        <v>5.3472222221898846E-2</v>
      </c>
      <c r="AG54" s="188">
        <f t="shared" si="37"/>
        <v>0</v>
      </c>
    </row>
    <row r="55" spans="2:33" ht="15" customHeight="1" x14ac:dyDescent="0.15">
      <c r="B55" s="174" t="s">
        <v>19</v>
      </c>
      <c r="C55" s="175" t="s">
        <v>15</v>
      </c>
      <c r="D55" s="176" t="str">
        <f t="shared" si="19"/>
        <v>C</v>
      </c>
      <c r="E55" s="177" t="d">
        <v>2021-10-27T21:30:00.00000020954757600</v>
      </c>
      <c r="F55" s="178" t="s">
        <v>77</v>
      </c>
      <c r="G55" s="179">
        <v>1798.53</v>
      </c>
      <c r="H55" s="179">
        <v>1793.64</v>
      </c>
      <c r="I55" s="180">
        <f t="shared" si="20"/>
        <v>4.8899999999998727</v>
      </c>
      <c r="J55" s="179">
        <v>1822.03</v>
      </c>
      <c r="K55" s="177" t="d">
        <v>2021-10-28T17:32:59.99999974854290475</v>
      </c>
      <c r="L55" s="179">
        <v>1797.59</v>
      </c>
      <c r="M55" s="181">
        <f t="shared" si="21"/>
        <v>-0.94</v>
      </c>
      <c r="N55" s="182">
        <f t="shared" si="22"/>
        <v>-0.19</v>
      </c>
      <c r="O55" s="183">
        <f t="shared" si="23"/>
        <v>0</v>
      </c>
      <c r="P55" s="184">
        <f t="shared" si="24"/>
        <v>0</v>
      </c>
      <c r="Q55" s="184">
        <f t="shared" si="25"/>
        <v>-0.19</v>
      </c>
      <c r="R5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26970</v>
      </c>
      <c r="T5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55" s="186">
        <f ca="1">IF(Tabla33610673489[[#This Row],[Equity]]&lt;Tabla33610673489[[#This Row],[Equity Peak]],(Tabla33610673489[[#This Row],[Equity Peak]]-Tabla33610673489[[#This Row],[Equity]])/Tabla33610673489[[#This Row],[Equity Peak]],"")</f>
        <v>0.10435865504358655</v>
      </c>
      <c r="V55" s="187">
        <f t="shared" si="26"/>
        <v>0</v>
      </c>
      <c r="W55" s="187">
        <f t="shared" si="27"/>
        <v>0</v>
      </c>
      <c r="X55" s="187">
        <f t="shared" si="28"/>
        <v>-0.19</v>
      </c>
      <c r="Y55" s="187">
        <f t="shared" si="29"/>
        <v>0</v>
      </c>
      <c r="Z55" s="187">
        <f t="shared" si="30"/>
        <v>0</v>
      </c>
      <c r="AA55" s="183">
        <f t="shared" si="31"/>
        <v>0</v>
      </c>
      <c r="AB55" s="187">
        <f t="shared" si="32"/>
        <v>0</v>
      </c>
      <c r="AC55" s="183">
        <f t="shared" si="33"/>
        <v>0</v>
      </c>
      <c r="AD55" s="188">
        <f t="shared" si="34"/>
        <v>0.83541666666133096</v>
      </c>
      <c r="AE55" s="188">
        <f t="shared" si="35"/>
        <v>0</v>
      </c>
      <c r="AF55" s="188">
        <f t="shared" si="36"/>
        <v>0.83541666666133096</v>
      </c>
      <c r="AG55" s="188">
        <f t="shared" si="37"/>
        <v>0</v>
      </c>
    </row>
    <row r="56" spans="2:33" ht="15" customHeight="1" x14ac:dyDescent="0.15">
      <c r="B56" s="174" t="s">
        <v>19</v>
      </c>
      <c r="C56" s="175" t="s">
        <v>15</v>
      </c>
      <c r="D56" s="176" t="str">
        <f t="shared" si="19"/>
        <v>C</v>
      </c>
      <c r="E56" s="177" t="d">
        <v>2021-10-27T15:14:59.99999979045242400</v>
      </c>
      <c r="F56" s="178" t="s">
        <v>77</v>
      </c>
      <c r="G56" s="179">
        <v>1795.23</v>
      </c>
      <c r="H56" s="179">
        <v>1790.5</v>
      </c>
      <c r="I56" s="180">
        <f t="shared" si="20"/>
        <v>4.7300000000000182</v>
      </c>
      <c r="J56" s="179">
        <v>1817.92</v>
      </c>
      <c r="K56" s="177" t="d">
        <v>2021-10-27T15:37:59.99999988824129100</v>
      </c>
      <c r="L56" s="179">
        <v>1790.5</v>
      </c>
      <c r="M56" s="181">
        <f t="shared" si="21"/>
        <v>-4.7300000000000004</v>
      </c>
      <c r="N56" s="182">
        <f t="shared" si="22"/>
        <v>-1</v>
      </c>
      <c r="O56" s="183">
        <f t="shared" si="23"/>
        <v>0</v>
      </c>
      <c r="P56" s="184">
        <f t="shared" si="24"/>
        <v>0</v>
      </c>
      <c r="Q56" s="184">
        <f t="shared" si="25"/>
        <v>-1</v>
      </c>
      <c r="R5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27017.5</v>
      </c>
      <c r="T5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56" s="186">
        <f ca="1">IF(Tabla33610673489[[#This Row],[Equity]]&lt;Tabla33610673489[[#This Row],[Equity Peak]],(Tabla33610673489[[#This Row],[Equity Peak]]-Tabla33610673489[[#This Row],[Equity]])/Tabla33610673489[[#This Row],[Equity Peak]],"")</f>
        <v>0.10278123702781237</v>
      </c>
      <c r="V56" s="187">
        <f t="shared" si="26"/>
        <v>0</v>
      </c>
      <c r="W56" s="187">
        <f t="shared" si="27"/>
        <v>0</v>
      </c>
      <c r="X56" s="187">
        <f t="shared" si="28"/>
        <v>-1</v>
      </c>
      <c r="Y56" s="187">
        <f t="shared" si="29"/>
        <v>0</v>
      </c>
      <c r="Z56" s="187">
        <f t="shared" si="30"/>
        <v>0</v>
      </c>
      <c r="AA56" s="183">
        <f t="shared" si="31"/>
        <v>0</v>
      </c>
      <c r="AB56" s="187">
        <f t="shared" si="32"/>
        <v>0</v>
      </c>
      <c r="AC56" s="183">
        <f t="shared" si="33"/>
        <v>0</v>
      </c>
      <c r="AD56" s="188">
        <f t="shared" si="34"/>
        <v>1.5972222223354038E-2</v>
      </c>
      <c r="AE56" s="188">
        <f t="shared" si="35"/>
        <v>0</v>
      </c>
      <c r="AF56" s="188">
        <f t="shared" si="36"/>
        <v>1.5972222223354038E-2</v>
      </c>
      <c r="AG56" s="188">
        <f t="shared" si="37"/>
        <v>0</v>
      </c>
    </row>
    <row r="57" spans="2:33" ht="15" customHeight="1" x14ac:dyDescent="0.15">
      <c r="B57" s="174" t="s">
        <v>19</v>
      </c>
      <c r="C57" s="175" t="s">
        <v>13</v>
      </c>
      <c r="D57" s="176" t="str">
        <f t="shared" si="19"/>
        <v>C</v>
      </c>
      <c r="E57" s="177" t="d">
        <v>2021-10-27T08:45:00.00000020954757600</v>
      </c>
      <c r="F57" s="178" t="s">
        <v>77</v>
      </c>
      <c r="G57" s="179">
        <v>1786.52</v>
      </c>
      <c r="H57" s="179">
        <v>1791.13</v>
      </c>
      <c r="I57" s="180">
        <f t="shared" si="20"/>
        <v>4.6100000000001273</v>
      </c>
      <c r="J57" s="179">
        <v>1764.42</v>
      </c>
      <c r="K57" s="177" t="d">
        <v>2021-10-27T09:56:00.00000026542693050</v>
      </c>
      <c r="L57" s="179">
        <v>1791.13</v>
      </c>
      <c r="M57" s="181">
        <f t="shared" si="21"/>
        <v>-4.6100000000000003</v>
      </c>
      <c r="N57" s="182">
        <f t="shared" si="22"/>
        <v>-1</v>
      </c>
      <c r="O57" s="183">
        <f t="shared" si="23"/>
        <v>0</v>
      </c>
      <c r="P57" s="184">
        <f t="shared" si="24"/>
        <v>0</v>
      </c>
      <c r="Q57" s="184">
        <f t="shared" si="25"/>
        <v>-1</v>
      </c>
      <c r="R5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27267.5</v>
      </c>
      <c r="T5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57" s="186">
        <f ca="1">IF(Tabla33610673489[[#This Row],[Equity]]&lt;Tabla33610673489[[#This Row],[Equity Peak]],(Tabla33610673489[[#This Row],[Equity Peak]]-Tabla33610673489[[#This Row],[Equity]])/Tabla33610673489[[#This Row],[Equity Peak]],"")</f>
        <v>9.4479036944790373E-2</v>
      </c>
      <c r="V57" s="187">
        <f t="shared" si="26"/>
        <v>0</v>
      </c>
      <c r="W57" s="187">
        <f t="shared" si="27"/>
        <v>0</v>
      </c>
      <c r="X57" s="187">
        <f t="shared" si="28"/>
        <v>-1</v>
      </c>
      <c r="Y57" s="187">
        <f t="shared" si="29"/>
        <v>0</v>
      </c>
      <c r="Z57" s="187">
        <f t="shared" si="30"/>
        <v>0</v>
      </c>
      <c r="AA57" s="183">
        <f t="shared" si="31"/>
        <v>0</v>
      </c>
      <c r="AB57" s="187">
        <f t="shared" si="32"/>
        <v>0</v>
      </c>
      <c r="AC57" s="183">
        <f t="shared" si="33"/>
        <v>0</v>
      </c>
      <c r="AD57" s="188">
        <f t="shared" si="34"/>
        <v>4.9305555556202307E-2</v>
      </c>
      <c r="AE57" s="188">
        <f t="shared" si="35"/>
        <v>0</v>
      </c>
      <c r="AF57" s="188">
        <f t="shared" si="36"/>
        <v>4.9305555556202307E-2</v>
      </c>
      <c r="AG57" s="188">
        <f t="shared" si="37"/>
        <v>0</v>
      </c>
    </row>
    <row r="58" spans="2:33" ht="15" customHeight="1" x14ac:dyDescent="0.15">
      <c r="B58" s="174" t="s">
        <v>19</v>
      </c>
      <c r="C58" s="175" t="s">
        <v>13</v>
      </c>
      <c r="D58" s="176" t="str">
        <f t="shared" si="19"/>
        <v>C</v>
      </c>
      <c r="E58" s="177" t="d">
        <v>2021-10-26T17:15:00.000</v>
      </c>
      <c r="F58" s="178" t="s">
        <v>77</v>
      </c>
      <c r="G58" s="179">
        <v>1784.54</v>
      </c>
      <c r="H58" s="179">
        <v>1789.37</v>
      </c>
      <c r="I58" s="180">
        <f t="shared" si="20"/>
        <v>4.8299999999999272</v>
      </c>
      <c r="J58" s="179">
        <v>1761.34</v>
      </c>
      <c r="K58" s="177" t="d">
        <v>2021-10-26T18:43:00.00000023748725325</v>
      </c>
      <c r="L58" s="179">
        <v>1789.37</v>
      </c>
      <c r="M58" s="181">
        <f t="shared" si="21"/>
        <v>-4.83</v>
      </c>
      <c r="N58" s="182">
        <f t="shared" si="22"/>
        <v>-1</v>
      </c>
      <c r="O58" s="183">
        <f t="shared" si="23"/>
        <v>0</v>
      </c>
      <c r="P58" s="184">
        <f t="shared" si="24"/>
        <v>0</v>
      </c>
      <c r="Q58" s="184">
        <f t="shared" si="25"/>
        <v>-1</v>
      </c>
      <c r="R5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27517.5</v>
      </c>
      <c r="T5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58" s="186">
        <f ca="1">IF(Tabla33610673489[[#This Row],[Equity]]&lt;Tabla33610673489[[#This Row],[Equity Peak]],(Tabla33610673489[[#This Row],[Equity Peak]]-Tabla33610673489[[#This Row],[Equity]])/Tabla33610673489[[#This Row],[Equity Peak]],"")</f>
        <v>8.6176836861768372E-2</v>
      </c>
      <c r="V58" s="187">
        <f t="shared" si="26"/>
        <v>0</v>
      </c>
      <c r="W58" s="187">
        <f t="shared" si="27"/>
        <v>0</v>
      </c>
      <c r="X58" s="187">
        <f t="shared" si="28"/>
        <v>-1</v>
      </c>
      <c r="Y58" s="187">
        <f t="shared" si="29"/>
        <v>0</v>
      </c>
      <c r="Z58" s="187">
        <f t="shared" si="30"/>
        <v>0</v>
      </c>
      <c r="AA58" s="183">
        <f t="shared" si="31"/>
        <v>0</v>
      </c>
      <c r="AB58" s="187">
        <f t="shared" si="32"/>
        <v>0</v>
      </c>
      <c r="AC58" s="183">
        <f t="shared" si="33"/>
        <v>0</v>
      </c>
      <c r="AD58" s="188">
        <f t="shared" si="34"/>
        <v>6.1111111113859806E-2</v>
      </c>
      <c r="AE58" s="188">
        <f t="shared" si="35"/>
        <v>0</v>
      </c>
      <c r="AF58" s="188">
        <f t="shared" si="36"/>
        <v>6.1111111113859806E-2</v>
      </c>
      <c r="AG58" s="188">
        <f t="shared" si="37"/>
        <v>0</v>
      </c>
    </row>
    <row r="59" spans="2:33" ht="15" customHeight="1" x14ac:dyDescent="0.15">
      <c r="B59" s="174" t="s">
        <v>19</v>
      </c>
      <c r="C59" s="175" t="s">
        <v>15</v>
      </c>
      <c r="D59" s="176" t="str">
        <f t="shared" si="19"/>
        <v>C</v>
      </c>
      <c r="E59" s="177" t="d">
        <v>2021-10-25T12:00:00.000</v>
      </c>
      <c r="F59" s="178" t="s">
        <v>77</v>
      </c>
      <c r="G59" s="179">
        <v>1803.3</v>
      </c>
      <c r="H59" s="179">
        <v>1798.41</v>
      </c>
      <c r="I59" s="180">
        <f t="shared" si="20"/>
        <v>4.8899999999998727</v>
      </c>
      <c r="J59" s="179">
        <v>1826.78</v>
      </c>
      <c r="K59" s="177" t="d">
        <v>2021-10-26T15:26:00.00000005587935450</v>
      </c>
      <c r="L59" s="179">
        <v>1798.93</v>
      </c>
      <c r="M59" s="181">
        <f t="shared" si="21"/>
        <v>-4.37</v>
      </c>
      <c r="N59" s="182">
        <f t="shared" si="22"/>
        <v>-0.89</v>
      </c>
      <c r="O59" s="183">
        <f t="shared" si="23"/>
        <v>0</v>
      </c>
      <c r="P59" s="184">
        <f t="shared" si="24"/>
        <v>0</v>
      </c>
      <c r="Q59" s="184">
        <f t="shared" si="25"/>
        <v>-0.89</v>
      </c>
      <c r="R5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5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27767.5</v>
      </c>
      <c r="T5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59" s="186">
        <f ca="1">IF(Tabla33610673489[[#This Row],[Equity]]&lt;Tabla33610673489[[#This Row],[Equity Peak]],(Tabla33610673489[[#This Row],[Equity Peak]]-Tabla33610673489[[#This Row],[Equity]])/Tabla33610673489[[#This Row],[Equity Peak]],"")</f>
        <v>7.787463677874637E-2</v>
      </c>
      <c r="V59" s="187">
        <f t="shared" si="26"/>
        <v>0</v>
      </c>
      <c r="W59" s="187">
        <f t="shared" si="27"/>
        <v>0</v>
      </c>
      <c r="X59" s="187">
        <f t="shared" si="28"/>
        <v>-0.89</v>
      </c>
      <c r="Y59" s="187">
        <f t="shared" si="29"/>
        <v>0</v>
      </c>
      <c r="Z59" s="187">
        <f t="shared" si="30"/>
        <v>0</v>
      </c>
      <c r="AA59" s="183">
        <f t="shared" si="31"/>
        <v>0</v>
      </c>
      <c r="AB59" s="187">
        <f t="shared" si="32"/>
        <v>0</v>
      </c>
      <c r="AC59" s="183">
        <f t="shared" si="33"/>
        <v>0</v>
      </c>
      <c r="AD59" s="188">
        <f t="shared" si="34"/>
        <v>1.1430555555562023</v>
      </c>
      <c r="AE59" s="188">
        <f t="shared" si="35"/>
        <v>0</v>
      </c>
      <c r="AF59" s="188">
        <f t="shared" si="36"/>
        <v>1.1430555555562023</v>
      </c>
      <c r="AG59" s="188">
        <f t="shared" si="37"/>
        <v>0</v>
      </c>
    </row>
    <row r="60" spans="2:33" ht="15" customHeight="1" x14ac:dyDescent="0.15">
      <c r="B60" s="174" t="s">
        <v>19</v>
      </c>
      <c r="C60" s="175" t="s">
        <v>15</v>
      </c>
      <c r="D60" s="176" t="str">
        <f t="shared" si="19"/>
        <v>C</v>
      </c>
      <c r="E60" s="177" t="d">
        <v>2021-10-22T04:15:00.00000020954757600</v>
      </c>
      <c r="F60" s="178" t="s">
        <v>77</v>
      </c>
      <c r="G60" s="179">
        <v>1786.57</v>
      </c>
      <c r="H60" s="179">
        <v>1782.01</v>
      </c>
      <c r="I60" s="180">
        <f t="shared" si="20"/>
        <v>4.5599999999999454</v>
      </c>
      <c r="J60" s="179">
        <v>1808.48</v>
      </c>
      <c r="K60" s="177" t="d">
        <v>2021-10-22T16:57:00.00000025145709525</v>
      </c>
      <c r="L60" s="179">
        <v>1808.48</v>
      </c>
      <c r="M60" s="181">
        <f t="shared" si="21"/>
        <v>21.91</v>
      </c>
      <c r="N60" s="182">
        <f t="shared" si="22"/>
        <v>4.8</v>
      </c>
      <c r="O60" s="183">
        <f t="shared" si="23"/>
        <v>0</v>
      </c>
      <c r="P60" s="184">
        <f t="shared" si="24"/>
        <v>4.8</v>
      </c>
      <c r="Q60" s="184">
        <f t="shared" si="25"/>
        <v>0</v>
      </c>
      <c r="R6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27990</v>
      </c>
      <c r="T6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60" s="186">
        <f ca="1">IF(Tabla33610673489[[#This Row],[Equity]]&lt;Tabla33610673489[[#This Row],[Equity Peak]],(Tabla33610673489[[#This Row],[Equity Peak]]-Tabla33610673489[[#This Row],[Equity]])/Tabla33610673489[[#This Row],[Equity Peak]],"")</f>
        <v>7.0485678704856794E-2</v>
      </c>
      <c r="V60" s="187">
        <f t="shared" si="26"/>
        <v>0</v>
      </c>
      <c r="W60" s="187">
        <f t="shared" si="27"/>
        <v>0</v>
      </c>
      <c r="X60" s="187">
        <f t="shared" si="28"/>
        <v>4.8</v>
      </c>
      <c r="Y60" s="187">
        <f t="shared" si="29"/>
        <v>0</v>
      </c>
      <c r="Z60" s="187">
        <f t="shared" si="30"/>
        <v>0</v>
      </c>
      <c r="AA60" s="183">
        <f t="shared" si="31"/>
        <v>0</v>
      </c>
      <c r="AB60" s="187">
        <f t="shared" si="32"/>
        <v>0</v>
      </c>
      <c r="AC60" s="183">
        <f t="shared" si="33"/>
        <v>0</v>
      </c>
      <c r="AD60" s="188">
        <f t="shared" si="34"/>
        <v>0.52916666666715173</v>
      </c>
      <c r="AE60" s="188">
        <f t="shared" si="35"/>
        <v>0.52916666666715173</v>
      </c>
      <c r="AF60" s="188">
        <f t="shared" si="36"/>
        <v>0</v>
      </c>
      <c r="AG60" s="188">
        <f t="shared" si="37"/>
        <v>0</v>
      </c>
    </row>
    <row r="61" spans="2:33" ht="15" customHeight="1" x14ac:dyDescent="0.15">
      <c r="B61" s="174" t="s">
        <v>19</v>
      </c>
      <c r="C61" s="175" t="s">
        <v>15</v>
      </c>
      <c r="D61" s="176" t="str">
        <f t="shared" si="19"/>
        <v>C</v>
      </c>
      <c r="E61" s="177" t="d">
        <v>2021-10-20T08:15:00.000</v>
      </c>
      <c r="F61" s="178" t="s">
        <v>77</v>
      </c>
      <c r="G61" s="179">
        <v>1774.84</v>
      </c>
      <c r="H61" s="179">
        <v>1770.21</v>
      </c>
      <c r="I61" s="180">
        <f t="shared" si="20"/>
        <v>4.6299999999998818</v>
      </c>
      <c r="J61" s="179">
        <v>1797.04</v>
      </c>
      <c r="K61" s="177" t="d">
        <v>2021-10-20T16:25:00.0000002793967725</v>
      </c>
      <c r="L61" s="179">
        <v>1782</v>
      </c>
      <c r="M61" s="181">
        <f t="shared" si="21"/>
        <v>7.16</v>
      </c>
      <c r="N61" s="182">
        <f t="shared" si="22"/>
        <v>1.55</v>
      </c>
      <c r="O61" s="183">
        <f t="shared" si="23"/>
        <v>0</v>
      </c>
      <c r="P61" s="184">
        <f t="shared" si="24"/>
        <v>1.55</v>
      </c>
      <c r="Q61" s="184">
        <f t="shared" si="25"/>
        <v>0</v>
      </c>
      <c r="R6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26790</v>
      </c>
      <c r="T6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61" s="186">
        <f ca="1">IF(Tabla33610673489[[#This Row],[Equity]]&lt;Tabla33610673489[[#This Row],[Equity Peak]],(Tabla33610673489[[#This Row],[Equity Peak]]-Tabla33610673489[[#This Row],[Equity]])/Tabla33610673489[[#This Row],[Equity Peak]],"")</f>
        <v>0.11033623910336239</v>
      </c>
      <c r="V61" s="187">
        <f t="shared" si="26"/>
        <v>0</v>
      </c>
      <c r="W61" s="187">
        <f t="shared" si="27"/>
        <v>0</v>
      </c>
      <c r="X61" s="187">
        <f t="shared" si="28"/>
        <v>1.55</v>
      </c>
      <c r="Y61" s="187">
        <f t="shared" si="29"/>
        <v>0</v>
      </c>
      <c r="Z61" s="187">
        <f t="shared" si="30"/>
        <v>0</v>
      </c>
      <c r="AA61" s="183">
        <f t="shared" si="31"/>
        <v>0</v>
      </c>
      <c r="AB61" s="187">
        <f t="shared" si="32"/>
        <v>0</v>
      </c>
      <c r="AC61" s="183">
        <f t="shared" si="33"/>
        <v>0</v>
      </c>
      <c r="AD61" s="188">
        <f t="shared" si="34"/>
        <v>0.34027777778101154</v>
      </c>
      <c r="AE61" s="188">
        <f t="shared" si="35"/>
        <v>0.34027777778101154</v>
      </c>
      <c r="AF61" s="188">
        <f t="shared" si="36"/>
        <v>0</v>
      </c>
      <c r="AG61" s="188">
        <f t="shared" si="37"/>
        <v>0</v>
      </c>
    </row>
    <row r="62" spans="2:33" ht="15" customHeight="1" x14ac:dyDescent="0.15">
      <c r="B62" s="174" t="s">
        <v>19</v>
      </c>
      <c r="C62" s="175" t="s">
        <v>13</v>
      </c>
      <c r="D62" s="176" t="str">
        <f t="shared" si="19"/>
        <v>C</v>
      </c>
      <c r="E62" s="177" t="d">
        <v>2021-10-19T19:15:00.00000020954757600</v>
      </c>
      <c r="F62" s="178" t="s">
        <v>77</v>
      </c>
      <c r="G62" s="179">
        <v>1768.07</v>
      </c>
      <c r="H62" s="179">
        <v>1772.98</v>
      </c>
      <c r="I62" s="180">
        <f t="shared" si="20"/>
        <v>4.9100000000000819</v>
      </c>
      <c r="J62" s="179">
        <v>1744.51</v>
      </c>
      <c r="K62" s="177" t="d">
        <v>2021-10-20T04:21:59.99999969266355025</v>
      </c>
      <c r="L62" s="179">
        <v>1772.98</v>
      </c>
      <c r="M62" s="181">
        <f t="shared" si="21"/>
        <v>-4.91</v>
      </c>
      <c r="N62" s="182">
        <f t="shared" si="22"/>
        <v>-1</v>
      </c>
      <c r="O62" s="183">
        <f t="shared" si="23"/>
        <v>0</v>
      </c>
      <c r="P62" s="184">
        <f t="shared" si="24"/>
        <v>0</v>
      </c>
      <c r="Q62" s="184">
        <f t="shared" si="25"/>
        <v>-1</v>
      </c>
      <c r="R6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26402.5</v>
      </c>
      <c r="T6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62" s="186">
        <f ca="1">IF(Tabla33610673489[[#This Row],[Equity]]&lt;Tabla33610673489[[#This Row],[Equity Peak]],(Tabla33610673489[[#This Row],[Equity Peak]]-Tabla33610673489[[#This Row],[Equity]])/Tabla33610673489[[#This Row],[Equity Peak]],"")</f>
        <v>0.12320464923204649</v>
      </c>
      <c r="V62" s="187">
        <f t="shared" si="26"/>
        <v>0</v>
      </c>
      <c r="W62" s="187">
        <f t="shared" si="27"/>
        <v>0</v>
      </c>
      <c r="X62" s="187">
        <f t="shared" si="28"/>
        <v>-1</v>
      </c>
      <c r="Y62" s="187">
        <f t="shared" si="29"/>
        <v>0</v>
      </c>
      <c r="Z62" s="187">
        <f t="shared" si="30"/>
        <v>0</v>
      </c>
      <c r="AA62" s="183">
        <f t="shared" si="31"/>
        <v>0</v>
      </c>
      <c r="AB62" s="187">
        <f t="shared" si="32"/>
        <v>0</v>
      </c>
      <c r="AC62" s="183">
        <f t="shared" si="33"/>
        <v>0</v>
      </c>
      <c r="AD62" s="188">
        <f t="shared" si="34"/>
        <v>0.37986111110512866</v>
      </c>
      <c r="AE62" s="188">
        <f t="shared" si="35"/>
        <v>0</v>
      </c>
      <c r="AF62" s="188">
        <f t="shared" si="36"/>
        <v>0.37986111110512866</v>
      </c>
      <c r="AG62" s="188">
        <f t="shared" si="37"/>
        <v>0</v>
      </c>
    </row>
    <row r="63" spans="2:33" ht="15" customHeight="1" x14ac:dyDescent="0.15">
      <c r="B63" s="174" t="s">
        <v>19</v>
      </c>
      <c r="C63" s="175" t="s">
        <v>15</v>
      </c>
      <c r="D63" s="176" t="str">
        <f t="shared" si="19"/>
        <v>C</v>
      </c>
      <c r="E63" s="177" t="d">
        <v>2021-10-19T06:00:00.000</v>
      </c>
      <c r="F63" s="178" t="s">
        <v>77</v>
      </c>
      <c r="G63" s="179">
        <v>1774.22</v>
      </c>
      <c r="H63" s="179">
        <v>1769.55</v>
      </c>
      <c r="I63" s="180">
        <f t="shared" si="20"/>
        <v>4.6700000000000728</v>
      </c>
      <c r="J63" s="179">
        <v>1796.63</v>
      </c>
      <c r="K63" s="177" t="d">
        <v>2021-10-19T17:17:59.9999999580904875</v>
      </c>
      <c r="L63" s="179">
        <v>1772.87</v>
      </c>
      <c r="M63" s="181">
        <f t="shared" si="21"/>
        <v>-1.35</v>
      </c>
      <c r="N63" s="182">
        <f t="shared" si="22"/>
        <v>-0.28999999999999998</v>
      </c>
      <c r="O63" s="183">
        <f t="shared" si="23"/>
        <v>0</v>
      </c>
      <c r="P63" s="184">
        <f t="shared" si="24"/>
        <v>0</v>
      </c>
      <c r="Q63" s="184">
        <f t="shared" si="25"/>
        <v>-0.28999999999999998</v>
      </c>
      <c r="R6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26652.5</v>
      </c>
      <c r="T6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63" s="186">
        <f ca="1">IF(Tabla33610673489[[#This Row],[Equity]]&lt;Tabla33610673489[[#This Row],[Equity Peak]],(Tabla33610673489[[#This Row],[Equity Peak]]-Tabla33610673489[[#This Row],[Equity]])/Tabla33610673489[[#This Row],[Equity Peak]],"")</f>
        <v>0.11490244914902449</v>
      </c>
      <c r="V63" s="187">
        <f t="shared" si="26"/>
        <v>0</v>
      </c>
      <c r="W63" s="187">
        <f t="shared" si="27"/>
        <v>0</v>
      </c>
      <c r="X63" s="187">
        <f t="shared" si="28"/>
        <v>-0.28999999999999998</v>
      </c>
      <c r="Y63" s="187">
        <f t="shared" si="29"/>
        <v>0</v>
      </c>
      <c r="Z63" s="187">
        <f t="shared" si="30"/>
        <v>0</v>
      </c>
      <c r="AA63" s="183">
        <f t="shared" si="31"/>
        <v>0</v>
      </c>
      <c r="AB63" s="187">
        <f t="shared" si="32"/>
        <v>0</v>
      </c>
      <c r="AC63" s="183">
        <f t="shared" si="33"/>
        <v>0</v>
      </c>
      <c r="AD63" s="188">
        <f t="shared" si="34"/>
        <v>0.47083333333284827</v>
      </c>
      <c r="AE63" s="188">
        <f t="shared" si="35"/>
        <v>0</v>
      </c>
      <c r="AF63" s="188">
        <f t="shared" si="36"/>
        <v>0.47083333333284827</v>
      </c>
      <c r="AG63" s="188">
        <f t="shared" si="37"/>
        <v>0</v>
      </c>
    </row>
    <row r="64" spans="2:33" ht="15" customHeight="1" x14ac:dyDescent="0.15">
      <c r="B64" s="174" t="s">
        <v>19</v>
      </c>
      <c r="C64" s="175" t="s">
        <v>13</v>
      </c>
      <c r="D64" s="176" t="str">
        <f t="shared" si="19"/>
        <v>C</v>
      </c>
      <c r="E64" s="177" t="d">
        <v>2021-10-15T15:30:00.00000020954757600</v>
      </c>
      <c r="F64" s="178" t="s">
        <v>77</v>
      </c>
      <c r="G64" s="179">
        <v>1774.49</v>
      </c>
      <c r="H64" s="179">
        <v>1779.21</v>
      </c>
      <c r="I64" s="180">
        <f t="shared" si="20"/>
        <v>4.7200000000000273</v>
      </c>
      <c r="J64" s="179">
        <v>1751.84</v>
      </c>
      <c r="K64" s="177" t="d">
        <v>2021-10-18T09:43:00.00000023748725325</v>
      </c>
      <c r="L64" s="179">
        <v>1766.9</v>
      </c>
      <c r="M64" s="181">
        <f t="shared" si="21"/>
        <v>7.59</v>
      </c>
      <c r="N64" s="182">
        <f t="shared" si="22"/>
        <v>1.61</v>
      </c>
      <c r="O64" s="183">
        <f t="shared" si="23"/>
        <v>0</v>
      </c>
      <c r="P64" s="184">
        <f t="shared" si="24"/>
        <v>1.61</v>
      </c>
      <c r="Q64" s="184">
        <f t="shared" si="25"/>
        <v>0</v>
      </c>
      <c r="R6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26725</v>
      </c>
      <c r="T6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64" s="186">
        <f ca="1">IF(Tabla33610673489[[#This Row],[Equity]]&lt;Tabla33610673489[[#This Row],[Equity Peak]],(Tabla33610673489[[#This Row],[Equity Peak]]-Tabla33610673489[[#This Row],[Equity]])/Tabla33610673489[[#This Row],[Equity Peak]],"")</f>
        <v>0.11249481112494811</v>
      </c>
      <c r="V64" s="187">
        <f t="shared" si="26"/>
        <v>0</v>
      </c>
      <c r="W64" s="187">
        <f t="shared" si="27"/>
        <v>0</v>
      </c>
      <c r="X64" s="187">
        <f t="shared" si="28"/>
        <v>1.61</v>
      </c>
      <c r="Y64" s="187">
        <f t="shared" si="29"/>
        <v>0</v>
      </c>
      <c r="Z64" s="187">
        <f t="shared" si="30"/>
        <v>0</v>
      </c>
      <c r="AA64" s="183">
        <f t="shared" si="31"/>
        <v>0</v>
      </c>
      <c r="AB64" s="187">
        <f t="shared" si="32"/>
        <v>0</v>
      </c>
      <c r="AC64" s="183">
        <f t="shared" si="33"/>
        <v>0</v>
      </c>
      <c r="AD64" s="188">
        <f t="shared" si="34"/>
        <v>2.7590277777781012</v>
      </c>
      <c r="AE64" s="188">
        <f t="shared" si="35"/>
        <v>2.7590277777781012</v>
      </c>
      <c r="AF64" s="188">
        <f t="shared" si="36"/>
        <v>0</v>
      </c>
      <c r="AG64" s="188">
        <f t="shared" si="37"/>
        <v>0</v>
      </c>
    </row>
    <row r="65" spans="2:33" ht="15" customHeight="1" x14ac:dyDescent="0.15">
      <c r="B65" s="174" t="s">
        <v>19</v>
      </c>
      <c r="C65" s="175" t="s">
        <v>15</v>
      </c>
      <c r="D65" s="176" t="str">
        <f t="shared" si="19"/>
        <v>C</v>
      </c>
      <c r="E65" s="177" t="d">
        <v>2021-10-13T16:44:59.99999979045242400</v>
      </c>
      <c r="F65" s="178" t="s">
        <v>77</v>
      </c>
      <c r="G65" s="179">
        <v>1778.9</v>
      </c>
      <c r="H65" s="179">
        <v>1774.04</v>
      </c>
      <c r="I65" s="180">
        <f t="shared" si="20"/>
        <v>4.8600000000001273</v>
      </c>
      <c r="J65" s="179">
        <v>1802.24</v>
      </c>
      <c r="K65" s="177" t="d">
        <v>2021-10-14T04:50:59.99999970663339225</v>
      </c>
      <c r="L65" s="179">
        <v>1790.04</v>
      </c>
      <c r="M65" s="181">
        <f t="shared" si="21"/>
        <v>11.14</v>
      </c>
      <c r="N65" s="182">
        <f t="shared" si="22"/>
        <v>2.29</v>
      </c>
      <c r="O65" s="183">
        <f t="shared" si="23"/>
        <v>0</v>
      </c>
      <c r="P65" s="184">
        <f t="shared" si="24"/>
        <v>2.29</v>
      </c>
      <c r="Q65" s="184">
        <f t="shared" si="25"/>
        <v>0</v>
      </c>
      <c r="R6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26322.5</v>
      </c>
      <c r="T6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65" s="186">
        <f ca="1">IF(Tabla33610673489[[#This Row],[Equity]]&lt;Tabla33610673489[[#This Row],[Equity Peak]],(Tabla33610673489[[#This Row],[Equity Peak]]-Tabla33610673489[[#This Row],[Equity]])/Tabla33610673489[[#This Row],[Equity Peak]],"")</f>
        <v>0.12586135325861353</v>
      </c>
      <c r="V65" s="187">
        <f t="shared" si="26"/>
        <v>0</v>
      </c>
      <c r="W65" s="187">
        <f t="shared" si="27"/>
        <v>0</v>
      </c>
      <c r="X65" s="187">
        <f t="shared" si="28"/>
        <v>2.29</v>
      </c>
      <c r="Y65" s="187">
        <f t="shared" si="29"/>
        <v>0</v>
      </c>
      <c r="Z65" s="187">
        <f t="shared" si="30"/>
        <v>0</v>
      </c>
      <c r="AA65" s="183">
        <f t="shared" si="31"/>
        <v>0</v>
      </c>
      <c r="AB65" s="187">
        <f t="shared" si="32"/>
        <v>0</v>
      </c>
      <c r="AC65" s="183">
        <f t="shared" si="33"/>
        <v>0</v>
      </c>
      <c r="AD65" s="188">
        <f t="shared" si="34"/>
        <v>0.50416666666569654</v>
      </c>
      <c r="AE65" s="188">
        <f t="shared" si="35"/>
        <v>0.50416666666569654</v>
      </c>
      <c r="AF65" s="188">
        <f t="shared" si="36"/>
        <v>0</v>
      </c>
      <c r="AG65" s="188">
        <f t="shared" si="37"/>
        <v>0</v>
      </c>
    </row>
    <row r="66" spans="2:33" ht="15" customHeight="1" x14ac:dyDescent="0.15">
      <c r="B66" s="174" t="s">
        <v>19</v>
      </c>
      <c r="C66" s="175" t="s">
        <v>15</v>
      </c>
      <c r="D66" s="176" t="str">
        <f t="shared" si="19"/>
        <v>C</v>
      </c>
      <c r="E66" s="177" t="d">
        <v>2021-10-13T10:44:59.99999979045242400</v>
      </c>
      <c r="F66" s="178" t="s">
        <v>77</v>
      </c>
      <c r="G66" s="179">
        <v>1765.67</v>
      </c>
      <c r="H66" s="179">
        <v>1761.03</v>
      </c>
      <c r="I66" s="180">
        <f t="shared" si="20"/>
        <v>4.6400000000001</v>
      </c>
      <c r="J66" s="179">
        <v>1787.93</v>
      </c>
      <c r="K66" s="177" t="d">
        <v>2021-10-13T15:31:59.99999997206032275</v>
      </c>
      <c r="L66" s="179">
        <v>1771.45</v>
      </c>
      <c r="M66" s="181">
        <f t="shared" si="21"/>
        <v>5.78</v>
      </c>
      <c r="N66" s="182">
        <f t="shared" si="22"/>
        <v>1.25</v>
      </c>
      <c r="O66" s="183">
        <f t="shared" si="23"/>
        <v>0</v>
      </c>
      <c r="P66" s="184">
        <f t="shared" si="24"/>
        <v>1.25</v>
      </c>
      <c r="Q66" s="184">
        <f t="shared" si="25"/>
        <v>0</v>
      </c>
      <c r="R6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25750</v>
      </c>
      <c r="T6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66" s="186">
        <f ca="1">IF(Tabla33610673489[[#This Row],[Equity]]&lt;Tabla33610673489[[#This Row],[Equity Peak]],(Tabla33610673489[[#This Row],[Equity Peak]]-Tabla33610673489[[#This Row],[Equity]])/Tabla33610673489[[#This Row],[Equity Peak]],"")</f>
        <v>0.1448733914487339</v>
      </c>
      <c r="V66" s="187">
        <f t="shared" si="26"/>
        <v>0</v>
      </c>
      <c r="W66" s="187">
        <f t="shared" si="27"/>
        <v>0</v>
      </c>
      <c r="X66" s="187">
        <f t="shared" si="28"/>
        <v>1.25</v>
      </c>
      <c r="Y66" s="187">
        <f t="shared" si="29"/>
        <v>0</v>
      </c>
      <c r="Z66" s="187">
        <f t="shared" si="30"/>
        <v>0</v>
      </c>
      <c r="AA66" s="183">
        <f t="shared" si="31"/>
        <v>0</v>
      </c>
      <c r="AB66" s="187">
        <f t="shared" si="32"/>
        <v>0</v>
      </c>
      <c r="AC66" s="183">
        <f t="shared" si="33"/>
        <v>0</v>
      </c>
      <c r="AD66" s="188">
        <f t="shared" si="34"/>
        <v>0.1993055555576575</v>
      </c>
      <c r="AE66" s="188">
        <f t="shared" si="35"/>
        <v>0.1993055555576575</v>
      </c>
      <c r="AF66" s="188">
        <f t="shared" si="36"/>
        <v>0</v>
      </c>
      <c r="AG66" s="188">
        <f t="shared" si="37"/>
        <v>0</v>
      </c>
    </row>
    <row r="67" spans="2:33" ht="15" customHeight="1" x14ac:dyDescent="0.15">
      <c r="B67" s="174" t="s">
        <v>19</v>
      </c>
      <c r="C67" s="175" t="s">
        <v>15</v>
      </c>
      <c r="D67" s="176" t="str">
        <f t="shared" si="19"/>
        <v>C</v>
      </c>
      <c r="E67" s="177" t="d">
        <v>2021-10-12T17:00:00.00000020954757600</v>
      </c>
      <c r="F67" s="178" t="s">
        <v>77</v>
      </c>
      <c r="G67" s="179">
        <v>1768.45</v>
      </c>
      <c r="H67" s="179">
        <v>1763.62</v>
      </c>
      <c r="I67" s="180">
        <f t="shared" si="20"/>
        <v>4.8300000000001546</v>
      </c>
      <c r="J67" s="179">
        <v>1791.65</v>
      </c>
      <c r="K67" s="177" t="d">
        <v>2021-10-12T17:35:59.99999970663339225</v>
      </c>
      <c r="L67" s="179">
        <v>1763.62</v>
      </c>
      <c r="M67" s="181">
        <f t="shared" si="21"/>
        <v>-4.83</v>
      </c>
      <c r="N67" s="182">
        <f t="shared" si="22"/>
        <v>-1</v>
      </c>
      <c r="O67" s="183">
        <f t="shared" si="23"/>
        <v>0</v>
      </c>
      <c r="P67" s="184">
        <f t="shared" si="24"/>
        <v>0</v>
      </c>
      <c r="Q67" s="184">
        <f t="shared" si="25"/>
        <v>-1</v>
      </c>
      <c r="R6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25437.5</v>
      </c>
      <c r="T6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67" s="186">
        <f ca="1">IF(Tabla33610673489[[#This Row],[Equity]]&lt;Tabla33610673489[[#This Row],[Equity Peak]],(Tabla33610673489[[#This Row],[Equity Peak]]-Tabla33610673489[[#This Row],[Equity]])/Tabla33610673489[[#This Row],[Equity Peak]],"")</f>
        <v>0.15525114155251141</v>
      </c>
      <c r="V67" s="187">
        <f t="shared" si="26"/>
        <v>0</v>
      </c>
      <c r="W67" s="187">
        <f t="shared" si="27"/>
        <v>0</v>
      </c>
      <c r="X67" s="187">
        <f t="shared" si="28"/>
        <v>-1</v>
      </c>
      <c r="Y67" s="187">
        <f t="shared" si="29"/>
        <v>0</v>
      </c>
      <c r="Z67" s="187">
        <f t="shared" si="30"/>
        <v>0</v>
      </c>
      <c r="AA67" s="183">
        <f t="shared" si="31"/>
        <v>0</v>
      </c>
      <c r="AB67" s="187">
        <f t="shared" si="32"/>
        <v>0</v>
      </c>
      <c r="AC67" s="183">
        <f t="shared" si="33"/>
        <v>0</v>
      </c>
      <c r="AD67" s="188">
        <f t="shared" si="34"/>
        <v>2.4999999994179234E-2</v>
      </c>
      <c r="AE67" s="188">
        <f t="shared" si="35"/>
        <v>0</v>
      </c>
      <c r="AF67" s="188">
        <f t="shared" si="36"/>
        <v>2.4999999994179234E-2</v>
      </c>
      <c r="AG67" s="188">
        <f t="shared" si="37"/>
        <v>0</v>
      </c>
    </row>
    <row r="68" spans="2:33" ht="15" customHeight="1" x14ac:dyDescent="0.15">
      <c r="B68" s="174" t="s">
        <v>19</v>
      </c>
      <c r="C68" s="175" t="s">
        <v>15</v>
      </c>
      <c r="D68" s="176" t="str">
        <f t="shared" si="19"/>
        <v>C</v>
      </c>
      <c r="E68" s="177" t="d">
        <v>2021-10-12T08:15:00.000</v>
      </c>
      <c r="F68" s="178" t="s">
        <v>77</v>
      </c>
      <c r="G68" s="179">
        <v>1760.14</v>
      </c>
      <c r="H68" s="179">
        <v>1755.52</v>
      </c>
      <c r="I68" s="180">
        <f t="shared" si="20"/>
        <v>4.6200000000001182</v>
      </c>
      <c r="J68" s="179">
        <v>1782.33</v>
      </c>
      <c r="K68" s="177" t="d">
        <v>2021-10-12T15:36:59.99999969266355025</v>
      </c>
      <c r="L68" s="179">
        <v>1755.52</v>
      </c>
      <c r="M68" s="181">
        <f t="shared" si="21"/>
        <v>-4.62</v>
      </c>
      <c r="N68" s="182">
        <f t="shared" si="22"/>
        <v>-1</v>
      </c>
      <c r="O68" s="183">
        <f t="shared" si="23"/>
        <v>0</v>
      </c>
      <c r="P68" s="184">
        <f t="shared" si="24"/>
        <v>0</v>
      </c>
      <c r="Q68" s="184">
        <f t="shared" si="25"/>
        <v>-1</v>
      </c>
      <c r="R6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25687.5</v>
      </c>
      <c r="T6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68" s="186">
        <f ca="1">IF(Tabla33610673489[[#This Row],[Equity]]&lt;Tabla33610673489[[#This Row],[Equity Peak]],(Tabla33610673489[[#This Row],[Equity Peak]]-Tabla33610673489[[#This Row],[Equity]])/Tabla33610673489[[#This Row],[Equity Peak]],"")</f>
        <v>0.14694894146948942</v>
      </c>
      <c r="V68" s="187">
        <f t="shared" si="26"/>
        <v>0</v>
      </c>
      <c r="W68" s="187">
        <f t="shared" si="27"/>
        <v>0</v>
      </c>
      <c r="X68" s="187">
        <f t="shared" si="28"/>
        <v>-1</v>
      </c>
      <c r="Y68" s="187">
        <f t="shared" si="29"/>
        <v>0</v>
      </c>
      <c r="Z68" s="187">
        <f t="shared" si="30"/>
        <v>0</v>
      </c>
      <c r="AA68" s="183">
        <f t="shared" si="31"/>
        <v>0</v>
      </c>
      <c r="AB68" s="187">
        <f t="shared" si="32"/>
        <v>0</v>
      </c>
      <c r="AC68" s="183">
        <f t="shared" si="33"/>
        <v>0</v>
      </c>
      <c r="AD68" s="188">
        <f t="shared" si="34"/>
        <v>0.30694444444088731</v>
      </c>
      <c r="AE68" s="188">
        <f t="shared" si="35"/>
        <v>0</v>
      </c>
      <c r="AF68" s="188">
        <f t="shared" si="36"/>
        <v>0.30694444444088731</v>
      </c>
      <c r="AG68" s="188">
        <f t="shared" si="37"/>
        <v>0</v>
      </c>
    </row>
    <row r="69" spans="2:33" ht="15" customHeight="1" x14ac:dyDescent="0.15">
      <c r="B69" s="174" t="s">
        <v>19</v>
      </c>
      <c r="C69" s="175" t="s">
        <v>13</v>
      </c>
      <c r="D69" s="176" t="str">
        <f t="shared" si="19"/>
        <v>C</v>
      </c>
      <c r="E69" s="177" t="d">
        <v>2021-10-11T15:59:59.99999979045242400</v>
      </c>
      <c r="F69" s="178" t="s">
        <v>77</v>
      </c>
      <c r="G69" s="179">
        <v>1750.88</v>
      </c>
      <c r="H69" s="179">
        <v>1755.87</v>
      </c>
      <c r="I69" s="180">
        <f t="shared" si="20"/>
        <v>4.9899999999997817</v>
      </c>
      <c r="J69" s="179">
        <v>1726.92</v>
      </c>
      <c r="K69" s="177" t="d">
        <v>2021-10-11T16:18:00.00000016763806350</v>
      </c>
      <c r="L69" s="179">
        <v>1755.87</v>
      </c>
      <c r="M69" s="181">
        <f t="shared" si="21"/>
        <v>-4.99</v>
      </c>
      <c r="N69" s="182">
        <f t="shared" si="22"/>
        <v>-1</v>
      </c>
      <c r="O69" s="183">
        <f t="shared" si="23"/>
        <v>0</v>
      </c>
      <c r="P69" s="184">
        <f t="shared" si="24"/>
        <v>0</v>
      </c>
      <c r="Q69" s="184">
        <f t="shared" si="25"/>
        <v>-1</v>
      </c>
      <c r="R6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6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25937.5</v>
      </c>
      <c r="T6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69" s="186">
        <f ca="1">IF(Tabla33610673489[[#This Row],[Equity]]&lt;Tabla33610673489[[#This Row],[Equity Peak]],(Tabla33610673489[[#This Row],[Equity Peak]]-Tabla33610673489[[#This Row],[Equity]])/Tabla33610673489[[#This Row],[Equity Peak]],"")</f>
        <v>0.1386467413864674</v>
      </c>
      <c r="V69" s="187">
        <f t="shared" si="26"/>
        <v>0</v>
      </c>
      <c r="W69" s="187">
        <f t="shared" si="27"/>
        <v>0</v>
      </c>
      <c r="X69" s="187">
        <f t="shared" si="28"/>
        <v>-1</v>
      </c>
      <c r="Y69" s="187">
        <f t="shared" si="29"/>
        <v>0</v>
      </c>
      <c r="Z69" s="187">
        <f t="shared" si="30"/>
        <v>0</v>
      </c>
      <c r="AA69" s="183">
        <f t="shared" si="31"/>
        <v>0</v>
      </c>
      <c r="AB69" s="187">
        <f t="shared" si="32"/>
        <v>0</v>
      </c>
      <c r="AC69" s="183">
        <f t="shared" si="33"/>
        <v>0</v>
      </c>
      <c r="AD69" s="188">
        <f t="shared" si="34"/>
        <v>1.2500000004365575E-2</v>
      </c>
      <c r="AE69" s="188">
        <f t="shared" si="35"/>
        <v>0</v>
      </c>
      <c r="AF69" s="188">
        <f t="shared" si="36"/>
        <v>1.2500000004365575E-2</v>
      </c>
      <c r="AG69" s="188">
        <f t="shared" si="37"/>
        <v>0</v>
      </c>
    </row>
    <row r="70" spans="2:33" ht="15" customHeight="1" x14ac:dyDescent="0.15">
      <c r="B70" s="174" t="s">
        <v>19</v>
      </c>
      <c r="C70" s="175" t="s">
        <v>13</v>
      </c>
      <c r="D70" s="176" t="str">
        <f t="shared" si="19"/>
        <v>C</v>
      </c>
      <c r="E70" s="177" t="d">
        <v>2021-10-11T01:30:00.000</v>
      </c>
      <c r="F70" s="178" t="s">
        <v>77</v>
      </c>
      <c r="G70" s="179">
        <v>1752.77</v>
      </c>
      <c r="H70" s="179">
        <v>1757.74</v>
      </c>
      <c r="I70" s="180">
        <f t="shared" si="20"/>
        <v>4.9700000000000273</v>
      </c>
      <c r="J70" s="179">
        <v>1728.9</v>
      </c>
      <c r="K70" s="177" t="d">
        <v>2021-10-11T03:08:00.00000030733644975</v>
      </c>
      <c r="L70" s="179">
        <v>1757.74</v>
      </c>
      <c r="M70" s="181">
        <f t="shared" si="21"/>
        <v>-4.97</v>
      </c>
      <c r="N70" s="182">
        <f t="shared" si="22"/>
        <v>-1</v>
      </c>
      <c r="O70" s="183">
        <f t="shared" si="23"/>
        <v>0</v>
      </c>
      <c r="P70" s="184">
        <f t="shared" si="24"/>
        <v>0</v>
      </c>
      <c r="Q70" s="184">
        <f t="shared" si="25"/>
        <v>-1</v>
      </c>
      <c r="R7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26187.5</v>
      </c>
      <c r="T7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70" s="186">
        <f ca="1">IF(Tabla33610673489[[#This Row],[Equity]]&lt;Tabla33610673489[[#This Row],[Equity Peak]],(Tabla33610673489[[#This Row],[Equity Peak]]-Tabla33610673489[[#This Row],[Equity]])/Tabla33610673489[[#This Row],[Equity Peak]],"")</f>
        <v>0.13034454130344542</v>
      </c>
      <c r="V70" s="187">
        <f t="shared" si="26"/>
        <v>0</v>
      </c>
      <c r="W70" s="187">
        <f t="shared" si="27"/>
        <v>0</v>
      </c>
      <c r="X70" s="187">
        <f t="shared" si="28"/>
        <v>-1</v>
      </c>
      <c r="Y70" s="187">
        <f t="shared" si="29"/>
        <v>0</v>
      </c>
      <c r="Z70" s="187">
        <f t="shared" si="30"/>
        <v>0</v>
      </c>
      <c r="AA70" s="183">
        <f t="shared" si="31"/>
        <v>0</v>
      </c>
      <c r="AB70" s="187">
        <f t="shared" si="32"/>
        <v>0</v>
      </c>
      <c r="AC70" s="183">
        <f t="shared" si="33"/>
        <v>0</v>
      </c>
      <c r="AD70" s="188">
        <f t="shared" si="34"/>
        <v>6.805555555911269E-2</v>
      </c>
      <c r="AE70" s="188">
        <f t="shared" si="35"/>
        <v>0</v>
      </c>
      <c r="AF70" s="188">
        <f t="shared" si="36"/>
        <v>6.805555555911269E-2</v>
      </c>
      <c r="AG70" s="188">
        <f t="shared" si="37"/>
        <v>0</v>
      </c>
    </row>
    <row r="71" spans="2:33" ht="15" customHeight="1" x14ac:dyDescent="0.15">
      <c r="B71" s="174" t="s">
        <v>19</v>
      </c>
      <c r="C71" s="175" t="s">
        <v>15</v>
      </c>
      <c r="D71" s="176" t="str">
        <f t="shared" si="19"/>
        <v>C</v>
      </c>
      <c r="E71" s="177" t="d">
        <v>2021-10-08T14:15:00.000</v>
      </c>
      <c r="F71" s="178" t="s">
        <v>77</v>
      </c>
      <c r="G71" s="179">
        <v>1762.12</v>
      </c>
      <c r="H71" s="179">
        <v>1757.24</v>
      </c>
      <c r="I71" s="180">
        <f t="shared" si="20"/>
        <v>4.8799999999998818</v>
      </c>
      <c r="J71" s="179">
        <v>1785.53</v>
      </c>
      <c r="K71" s="177" t="d">
        <v>2021-10-08T16:38:00.00000030733644975</v>
      </c>
      <c r="L71" s="179">
        <v>1773.87</v>
      </c>
      <c r="M71" s="181">
        <f t="shared" si="21"/>
        <v>11.75</v>
      </c>
      <c r="N71" s="182">
        <f t="shared" si="22"/>
        <v>2.41</v>
      </c>
      <c r="O71" s="183">
        <f t="shared" si="23"/>
        <v>0</v>
      </c>
      <c r="P71" s="184">
        <f t="shared" si="24"/>
        <v>2.41</v>
      </c>
      <c r="Q71" s="184">
        <f t="shared" si="25"/>
        <v>0</v>
      </c>
      <c r="R7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26437.5</v>
      </c>
      <c r="T7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71" s="186">
        <f ca="1">IF(Tabla33610673489[[#This Row],[Equity]]&lt;Tabla33610673489[[#This Row],[Equity Peak]],(Tabla33610673489[[#This Row],[Equity Peak]]-Tabla33610673489[[#This Row],[Equity]])/Tabla33610673489[[#This Row],[Equity Peak]],"")</f>
        <v>0.12204234122042341</v>
      </c>
      <c r="V71" s="187">
        <f t="shared" si="26"/>
        <v>0</v>
      </c>
      <c r="W71" s="187">
        <f t="shared" si="27"/>
        <v>0</v>
      </c>
      <c r="X71" s="187">
        <f t="shared" si="28"/>
        <v>2.41</v>
      </c>
      <c r="Y71" s="187">
        <f t="shared" si="29"/>
        <v>0</v>
      </c>
      <c r="Z71" s="187">
        <f t="shared" si="30"/>
        <v>0</v>
      </c>
      <c r="AA71" s="183">
        <f t="shared" si="31"/>
        <v>0</v>
      </c>
      <c r="AB71" s="187">
        <f t="shared" si="32"/>
        <v>0</v>
      </c>
      <c r="AC71" s="183">
        <f t="shared" si="33"/>
        <v>0</v>
      </c>
      <c r="AD71" s="188">
        <f t="shared" si="34"/>
        <v>9.930555555911269E-2</v>
      </c>
      <c r="AE71" s="188">
        <f t="shared" si="35"/>
        <v>9.930555555911269E-2</v>
      </c>
      <c r="AF71" s="188">
        <f t="shared" si="36"/>
        <v>0</v>
      </c>
      <c r="AG71" s="188">
        <f t="shared" si="37"/>
        <v>0</v>
      </c>
    </row>
    <row r="72" spans="2:33" ht="15" customHeight="1" x14ac:dyDescent="0.15">
      <c r="B72" s="174" t="s">
        <v>19</v>
      </c>
      <c r="C72" s="175" t="s">
        <v>13</v>
      </c>
      <c r="D72" s="176" t="str">
        <f t="shared" si="19"/>
        <v>C</v>
      </c>
      <c r="E72" s="177" t="d">
        <v>2021-10-07T15:45:00.000</v>
      </c>
      <c r="F72" s="178" t="s">
        <v>77</v>
      </c>
      <c r="G72" s="179">
        <v>1755.02</v>
      </c>
      <c r="H72" s="179">
        <v>1760.21</v>
      </c>
      <c r="I72" s="180">
        <f t="shared" si="20"/>
        <v>5.1900000000000546</v>
      </c>
      <c r="J72" s="179">
        <v>1730.12</v>
      </c>
      <c r="K72" s="177" t="d">
        <v>2021-10-07T17:00:00.00000020954757600</v>
      </c>
      <c r="L72" s="179">
        <v>1760.21</v>
      </c>
      <c r="M72" s="181">
        <f t="shared" si="21"/>
        <v>-5.19</v>
      </c>
      <c r="N72" s="182">
        <f t="shared" si="22"/>
        <v>-1</v>
      </c>
      <c r="O72" s="183">
        <f t="shared" si="23"/>
        <v>0</v>
      </c>
      <c r="P72" s="184">
        <f t="shared" si="24"/>
        <v>0</v>
      </c>
      <c r="Q72" s="184">
        <f t="shared" si="25"/>
        <v>-1</v>
      </c>
      <c r="R7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25835</v>
      </c>
      <c r="T7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72" s="186">
        <f ca="1">IF(Tabla33610673489[[#This Row],[Equity]]&lt;Tabla33610673489[[#This Row],[Equity Peak]],(Tabla33610673489[[#This Row],[Equity Peak]]-Tabla33610673489[[#This Row],[Equity]])/Tabla33610673489[[#This Row],[Equity Peak]],"")</f>
        <v>0.14205064342050644</v>
      </c>
      <c r="V72" s="187">
        <f t="shared" si="26"/>
        <v>0</v>
      </c>
      <c r="W72" s="187">
        <f t="shared" si="27"/>
        <v>0</v>
      </c>
      <c r="X72" s="187">
        <f t="shared" si="28"/>
        <v>-1</v>
      </c>
      <c r="Y72" s="187">
        <f t="shared" si="29"/>
        <v>0</v>
      </c>
      <c r="Z72" s="187">
        <f t="shared" si="30"/>
        <v>0</v>
      </c>
      <c r="AA72" s="183">
        <f t="shared" si="31"/>
        <v>0</v>
      </c>
      <c r="AB72" s="187">
        <f t="shared" si="32"/>
        <v>0</v>
      </c>
      <c r="AC72" s="183">
        <f t="shared" si="33"/>
        <v>0</v>
      </c>
      <c r="AD72" s="188">
        <f t="shared" si="34"/>
        <v>5.2083333335758653E-2</v>
      </c>
      <c r="AE72" s="188">
        <f t="shared" si="35"/>
        <v>0</v>
      </c>
      <c r="AF72" s="188">
        <f t="shared" si="36"/>
        <v>5.2083333335758653E-2</v>
      </c>
      <c r="AG72" s="188">
        <f t="shared" si="37"/>
        <v>0</v>
      </c>
    </row>
    <row r="73" spans="2:33" ht="15" customHeight="1" x14ac:dyDescent="0.15">
      <c r="B73" s="174" t="s">
        <v>19</v>
      </c>
      <c r="C73" s="175" t="s">
        <v>15</v>
      </c>
      <c r="D73" s="176" t="str">
        <f t="shared" si="19"/>
        <v>C</v>
      </c>
      <c r="E73" s="177" t="d">
        <v>2021-10-07T10:30:00.000</v>
      </c>
      <c r="F73" s="178" t="s">
        <v>77</v>
      </c>
      <c r="G73" s="179">
        <v>1765.83</v>
      </c>
      <c r="H73" s="179">
        <v>1760.72</v>
      </c>
      <c r="I73" s="180">
        <f t="shared" si="20"/>
        <v>5.1099999999999</v>
      </c>
      <c r="J73" s="179">
        <v>1790.35</v>
      </c>
      <c r="K73" s="177" t="d">
        <v>2021-10-07T11:48:00.00000016763806350</v>
      </c>
      <c r="L73" s="179">
        <v>1760.72</v>
      </c>
      <c r="M73" s="181">
        <f t="shared" si="21"/>
        <v>-5.1100000000000003</v>
      </c>
      <c r="N73" s="182">
        <f t="shared" si="22"/>
        <v>-1</v>
      </c>
      <c r="O73" s="183">
        <f t="shared" si="23"/>
        <v>0</v>
      </c>
      <c r="P73" s="184">
        <f t="shared" si="24"/>
        <v>0</v>
      </c>
      <c r="Q73" s="184">
        <f t="shared" si="25"/>
        <v>-1</v>
      </c>
      <c r="R7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26085</v>
      </c>
      <c r="T7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73" s="186">
        <f ca="1">IF(Tabla33610673489[[#This Row],[Equity]]&lt;Tabla33610673489[[#This Row],[Equity Peak]],(Tabla33610673489[[#This Row],[Equity Peak]]-Tabla33610673489[[#This Row],[Equity]])/Tabla33610673489[[#This Row],[Equity Peak]],"")</f>
        <v>0.13374844333748442</v>
      </c>
      <c r="V73" s="187">
        <f t="shared" si="26"/>
        <v>0</v>
      </c>
      <c r="W73" s="187">
        <f t="shared" si="27"/>
        <v>0</v>
      </c>
      <c r="X73" s="187">
        <f t="shared" si="28"/>
        <v>-1</v>
      </c>
      <c r="Y73" s="187">
        <f t="shared" si="29"/>
        <v>0</v>
      </c>
      <c r="Z73" s="187">
        <f t="shared" si="30"/>
        <v>0</v>
      </c>
      <c r="AA73" s="183">
        <f t="shared" si="31"/>
        <v>0</v>
      </c>
      <c r="AB73" s="187">
        <f t="shared" si="32"/>
        <v>0</v>
      </c>
      <c r="AC73" s="183">
        <f t="shared" si="33"/>
        <v>0</v>
      </c>
      <c r="AD73" s="188">
        <f t="shared" si="34"/>
        <v>5.4166666668606922E-2</v>
      </c>
      <c r="AE73" s="188">
        <f t="shared" si="35"/>
        <v>0</v>
      </c>
      <c r="AF73" s="188">
        <f t="shared" si="36"/>
        <v>5.4166666668606922E-2</v>
      </c>
      <c r="AG73" s="188">
        <f t="shared" si="37"/>
        <v>0</v>
      </c>
    </row>
    <row r="74" spans="2:33" ht="15" customHeight="1" x14ac:dyDescent="0.15">
      <c r="B74" s="174" t="s">
        <v>19</v>
      </c>
      <c r="C74" s="175" t="s">
        <v>15</v>
      </c>
      <c r="D74" s="176" t="str">
        <f t="shared" si="19"/>
        <v>C</v>
      </c>
      <c r="E74" s="177" t="d">
        <v>2021-10-06T22:15:00.00000020954757600</v>
      </c>
      <c r="F74" s="178" t="s">
        <v>77</v>
      </c>
      <c r="G74" s="179">
        <v>1764.79</v>
      </c>
      <c r="H74" s="179">
        <v>1759.46</v>
      </c>
      <c r="I74" s="180">
        <f t="shared" si="20"/>
        <v>5.3299999999999272</v>
      </c>
      <c r="J74" s="179">
        <v>1790.36</v>
      </c>
      <c r="K74" s="177" t="d">
        <v>2021-10-07T05:19:59.9999997206032275</v>
      </c>
      <c r="L74" s="179">
        <v>1759.46</v>
      </c>
      <c r="M74" s="181">
        <f t="shared" si="21"/>
        <v>-5.33</v>
      </c>
      <c r="N74" s="182">
        <f t="shared" si="22"/>
        <v>-1</v>
      </c>
      <c r="O74" s="183">
        <f t="shared" si="23"/>
        <v>0</v>
      </c>
      <c r="P74" s="184">
        <f t="shared" si="24"/>
        <v>0</v>
      </c>
      <c r="Q74" s="184">
        <f t="shared" si="25"/>
        <v>-1</v>
      </c>
      <c r="R7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26335</v>
      </c>
      <c r="T7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74" s="186">
        <f ca="1">IF(Tabla33610673489[[#This Row],[Equity]]&lt;Tabla33610673489[[#This Row],[Equity Peak]],(Tabla33610673489[[#This Row],[Equity Peak]]-Tabla33610673489[[#This Row],[Equity]])/Tabla33610673489[[#This Row],[Equity Peak]],"")</f>
        <v>0.12544624325446244</v>
      </c>
      <c r="V74" s="187">
        <f t="shared" si="26"/>
        <v>0</v>
      </c>
      <c r="W74" s="187">
        <f t="shared" si="27"/>
        <v>0</v>
      </c>
      <c r="X74" s="187">
        <f t="shared" si="28"/>
        <v>-1</v>
      </c>
      <c r="Y74" s="187">
        <f t="shared" si="29"/>
        <v>0</v>
      </c>
      <c r="Z74" s="187">
        <f t="shared" si="30"/>
        <v>0</v>
      </c>
      <c r="AA74" s="183">
        <f t="shared" si="31"/>
        <v>0</v>
      </c>
      <c r="AB74" s="187">
        <f t="shared" si="32"/>
        <v>0</v>
      </c>
      <c r="AC74" s="183">
        <f t="shared" si="33"/>
        <v>0</v>
      </c>
      <c r="AD74" s="188">
        <f t="shared" si="34"/>
        <v>0.29513888888322981</v>
      </c>
      <c r="AE74" s="188">
        <f t="shared" si="35"/>
        <v>0</v>
      </c>
      <c r="AF74" s="188">
        <f t="shared" si="36"/>
        <v>0.29513888888322981</v>
      </c>
      <c r="AG74" s="188">
        <f t="shared" si="37"/>
        <v>0</v>
      </c>
    </row>
    <row r="75" spans="2:33" ht="15" customHeight="1" x14ac:dyDescent="0.15">
      <c r="B75" s="174" t="s">
        <v>19</v>
      </c>
      <c r="C75" s="175" t="s">
        <v>15</v>
      </c>
      <c r="D75" s="176" t="str">
        <f t="shared" si="19"/>
        <v>C</v>
      </c>
      <c r="E75" s="177" t="d">
        <v>2021-10-05T20:45:00.00000020954757600</v>
      </c>
      <c r="F75" s="178" t="s">
        <v>77</v>
      </c>
      <c r="G75" s="179">
        <v>1762.06</v>
      </c>
      <c r="H75" s="179">
        <v>1756.6</v>
      </c>
      <c r="I75" s="180">
        <f t="shared" si="20"/>
        <v>5.4600000000000364</v>
      </c>
      <c r="J75" s="179">
        <v>1788.28</v>
      </c>
      <c r="K75" s="177" t="d">
        <v>2021-10-06T04:21:59.99999969266355025</v>
      </c>
      <c r="L75" s="179">
        <v>1756.6</v>
      </c>
      <c r="M75" s="181">
        <f t="shared" si="21"/>
        <v>-5.46</v>
      </c>
      <c r="N75" s="182">
        <f t="shared" si="22"/>
        <v>-1</v>
      </c>
      <c r="O75" s="183">
        <f t="shared" si="23"/>
        <v>0</v>
      </c>
      <c r="P75" s="184">
        <f t="shared" si="24"/>
        <v>0</v>
      </c>
      <c r="Q75" s="184">
        <f t="shared" si="25"/>
        <v>-1</v>
      </c>
      <c r="R7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26585</v>
      </c>
      <c r="T7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75" s="186">
        <f ca="1">IF(Tabla33610673489[[#This Row],[Equity]]&lt;Tabla33610673489[[#This Row],[Equity Peak]],(Tabla33610673489[[#This Row],[Equity Peak]]-Tabla33610673489[[#This Row],[Equity]])/Tabla33610673489[[#This Row],[Equity Peak]],"")</f>
        <v>0.11714404317144043</v>
      </c>
      <c r="V75" s="187">
        <f t="shared" si="26"/>
        <v>0</v>
      </c>
      <c r="W75" s="187">
        <f t="shared" si="27"/>
        <v>0</v>
      </c>
      <c r="X75" s="187">
        <f t="shared" si="28"/>
        <v>-1</v>
      </c>
      <c r="Y75" s="187">
        <f t="shared" si="29"/>
        <v>0</v>
      </c>
      <c r="Z75" s="187">
        <f t="shared" si="30"/>
        <v>0</v>
      </c>
      <c r="AA75" s="183">
        <f t="shared" si="31"/>
        <v>0</v>
      </c>
      <c r="AB75" s="187">
        <f t="shared" si="32"/>
        <v>0</v>
      </c>
      <c r="AC75" s="183">
        <f t="shared" si="33"/>
        <v>0</v>
      </c>
      <c r="AD75" s="188">
        <f t="shared" si="34"/>
        <v>0.31736111110512866</v>
      </c>
      <c r="AE75" s="188">
        <f t="shared" si="35"/>
        <v>0</v>
      </c>
      <c r="AF75" s="188">
        <f t="shared" si="36"/>
        <v>0.31736111110512866</v>
      </c>
      <c r="AG75" s="188">
        <f t="shared" si="37"/>
        <v>0</v>
      </c>
    </row>
    <row r="76" spans="2:33" ht="15" customHeight="1" x14ac:dyDescent="0.15">
      <c r="B76" s="174" t="s">
        <v>19</v>
      </c>
      <c r="C76" s="175" t="s">
        <v>15</v>
      </c>
      <c r="D76" s="176" t="str">
        <f t="shared" si="19"/>
        <v>C</v>
      </c>
      <c r="E76" s="177" t="d">
        <v>2021-10-04T17:45:00.00000020954757600</v>
      </c>
      <c r="F76" s="178" t="s">
        <v>77</v>
      </c>
      <c r="G76" s="179">
        <v>1767.31</v>
      </c>
      <c r="H76" s="179">
        <v>1761.93</v>
      </c>
      <c r="I76" s="180">
        <f t="shared" si="20"/>
        <v>5.3799999999998818</v>
      </c>
      <c r="J76" s="179">
        <v>1793.12</v>
      </c>
      <c r="K76" s="177" t="d">
        <v>2021-10-05T05:39:00.00000029336660775</v>
      </c>
      <c r="L76" s="179">
        <v>1761.93</v>
      </c>
      <c r="M76" s="181">
        <f t="shared" si="21"/>
        <v>-5.38</v>
      </c>
      <c r="N76" s="182">
        <f t="shared" si="22"/>
        <v>-1</v>
      </c>
      <c r="O76" s="183">
        <f t="shared" si="23"/>
        <v>0</v>
      </c>
      <c r="P76" s="184">
        <f t="shared" si="24"/>
        <v>0</v>
      </c>
      <c r="Q76" s="184">
        <f t="shared" si="25"/>
        <v>-1</v>
      </c>
      <c r="R7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26835</v>
      </c>
      <c r="T7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76" s="186">
        <f ca="1">IF(Tabla33610673489[[#This Row],[Equity]]&lt;Tabla33610673489[[#This Row],[Equity Peak]],(Tabla33610673489[[#This Row],[Equity Peak]]-Tabla33610673489[[#This Row],[Equity]])/Tabla33610673489[[#This Row],[Equity Peak]],"")</f>
        <v>0.10884184308841843</v>
      </c>
      <c r="V76" s="187">
        <f t="shared" si="26"/>
        <v>0</v>
      </c>
      <c r="W76" s="187">
        <f t="shared" si="27"/>
        <v>0</v>
      </c>
      <c r="X76" s="187">
        <f t="shared" si="28"/>
        <v>-1</v>
      </c>
      <c r="Y76" s="187">
        <f t="shared" si="29"/>
        <v>0</v>
      </c>
      <c r="Z76" s="187">
        <f t="shared" si="30"/>
        <v>0</v>
      </c>
      <c r="AA76" s="183">
        <f t="shared" si="31"/>
        <v>0</v>
      </c>
      <c r="AB76" s="187">
        <f t="shared" si="32"/>
        <v>0</v>
      </c>
      <c r="AC76" s="183">
        <f t="shared" si="33"/>
        <v>0</v>
      </c>
      <c r="AD76" s="188">
        <f t="shared" si="34"/>
        <v>0.49583333333430346</v>
      </c>
      <c r="AE76" s="188">
        <f t="shared" si="35"/>
        <v>0</v>
      </c>
      <c r="AF76" s="188">
        <f t="shared" si="36"/>
        <v>0.49583333333430346</v>
      </c>
      <c r="AG76" s="188">
        <f t="shared" si="37"/>
        <v>0</v>
      </c>
    </row>
    <row r="77" spans="2:33" ht="15" customHeight="1" x14ac:dyDescent="0.15">
      <c r="B77" s="174" t="s">
        <v>19</v>
      </c>
      <c r="C77" s="175" t="s">
        <v>15</v>
      </c>
      <c r="D77" s="176" t="str">
        <f t="shared" si="19"/>
        <v>C</v>
      </c>
      <c r="E77" s="177" t="d">
        <v>2021-09-30T15:59:59.99999979045242400</v>
      </c>
      <c r="F77" s="178" t="s">
        <v>77</v>
      </c>
      <c r="G77" s="179">
        <v>1737.24</v>
      </c>
      <c r="H77" s="179">
        <v>1732.05</v>
      </c>
      <c r="I77" s="180">
        <f t="shared" si="20"/>
        <v>5.1900000000000546</v>
      </c>
      <c r="J77" s="179">
        <v>1762.18</v>
      </c>
      <c r="K77" s="177" t="d">
        <v>2021-09-30T18:08:59.99999987427145575</v>
      </c>
      <c r="L77" s="179">
        <v>1762.18</v>
      </c>
      <c r="M77" s="181">
        <f t="shared" si="21"/>
        <v>24.94</v>
      </c>
      <c r="N77" s="182">
        <f t="shared" si="22"/>
        <v>4.8099999999999996</v>
      </c>
      <c r="O77" s="183">
        <f t="shared" si="23"/>
        <v>0</v>
      </c>
      <c r="P77" s="184">
        <f t="shared" si="24"/>
        <v>4.8099999999999996</v>
      </c>
      <c r="Q77" s="184">
        <f t="shared" si="25"/>
        <v>0</v>
      </c>
      <c r="R7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27085</v>
      </c>
      <c r="T7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77" s="186">
        <f ca="1">IF(Tabla33610673489[[#This Row],[Equity]]&lt;Tabla33610673489[[#This Row],[Equity Peak]],(Tabla33610673489[[#This Row],[Equity Peak]]-Tabla33610673489[[#This Row],[Equity]])/Tabla33610673489[[#This Row],[Equity Peak]],"")</f>
        <v>0.10053964300539643</v>
      </c>
      <c r="V77" s="187">
        <f t="shared" si="26"/>
        <v>0</v>
      </c>
      <c r="W77" s="187">
        <f t="shared" si="27"/>
        <v>0</v>
      </c>
      <c r="X77" s="187">
        <f t="shared" si="28"/>
        <v>4.8099999999999996</v>
      </c>
      <c r="Y77" s="187">
        <f t="shared" si="29"/>
        <v>0</v>
      </c>
      <c r="Z77" s="187">
        <f t="shared" si="30"/>
        <v>0</v>
      </c>
      <c r="AA77" s="183">
        <f t="shared" si="31"/>
        <v>0</v>
      </c>
      <c r="AB77" s="187">
        <f t="shared" si="32"/>
        <v>0</v>
      </c>
      <c r="AC77" s="183">
        <f t="shared" si="33"/>
        <v>0</v>
      </c>
      <c r="AD77" s="188">
        <f t="shared" si="34"/>
        <v>8.9583333334303461E-2</v>
      </c>
      <c r="AE77" s="188">
        <f t="shared" si="35"/>
        <v>8.9583333334303461E-2</v>
      </c>
      <c r="AF77" s="188">
        <f t="shared" si="36"/>
        <v>0</v>
      </c>
      <c r="AG77" s="188">
        <f t="shared" si="37"/>
        <v>0</v>
      </c>
    </row>
    <row r="78" spans="2:33" ht="15" customHeight="1" x14ac:dyDescent="0.15">
      <c r="B78" s="174" t="s">
        <v>19</v>
      </c>
      <c r="C78" s="175" t="s">
        <v>15</v>
      </c>
      <c r="D78" s="176" t="str">
        <f t="shared" si="19"/>
        <v>C</v>
      </c>
      <c r="E78" s="177" t="d">
        <v>2021-09-29T12:00:00.000</v>
      </c>
      <c r="F78" s="178" t="s">
        <v>77</v>
      </c>
      <c r="G78" s="179">
        <v>1743.18</v>
      </c>
      <c r="H78" s="179">
        <v>1737.95</v>
      </c>
      <c r="I78" s="180">
        <f t="shared" si="20"/>
        <v>5.2300000000000182</v>
      </c>
      <c r="J78" s="179">
        <v>1768.3</v>
      </c>
      <c r="K78" s="177" t="d">
        <v>2021-09-29T15:30:00.00000020954757600</v>
      </c>
      <c r="L78" s="179">
        <v>1737.95</v>
      </c>
      <c r="M78" s="181">
        <f t="shared" si="21"/>
        <v>-5.23</v>
      </c>
      <c r="N78" s="182">
        <f t="shared" si="22"/>
        <v>-1</v>
      </c>
      <c r="O78" s="183">
        <f t="shared" si="23"/>
        <v>0</v>
      </c>
      <c r="P78" s="184">
        <f t="shared" si="24"/>
        <v>0</v>
      </c>
      <c r="Q78" s="184">
        <f t="shared" si="25"/>
        <v>-1</v>
      </c>
      <c r="R7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25882.5</v>
      </c>
      <c r="T7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78" s="186">
        <f ca="1">IF(Tabla33610673489[[#This Row],[Equity]]&lt;Tabla33610673489[[#This Row],[Equity Peak]],(Tabla33610673489[[#This Row],[Equity Peak]]-Tabla33610673489[[#This Row],[Equity]])/Tabla33610673489[[#This Row],[Equity Peak]],"")</f>
        <v>0.14047322540473225</v>
      </c>
      <c r="V78" s="187">
        <f t="shared" si="26"/>
        <v>0</v>
      </c>
      <c r="W78" s="187">
        <f t="shared" si="27"/>
        <v>0</v>
      </c>
      <c r="X78" s="187">
        <f t="shared" si="28"/>
        <v>-1</v>
      </c>
      <c r="Y78" s="187">
        <f t="shared" si="29"/>
        <v>0</v>
      </c>
      <c r="Z78" s="187">
        <f t="shared" si="30"/>
        <v>0</v>
      </c>
      <c r="AA78" s="183">
        <f t="shared" si="31"/>
        <v>0</v>
      </c>
      <c r="AB78" s="187">
        <f t="shared" si="32"/>
        <v>0</v>
      </c>
      <c r="AC78" s="183">
        <f t="shared" si="33"/>
        <v>0</v>
      </c>
      <c r="AD78" s="188">
        <f t="shared" si="34"/>
        <v>0.14583333333575865</v>
      </c>
      <c r="AE78" s="188">
        <f t="shared" si="35"/>
        <v>0</v>
      </c>
      <c r="AF78" s="188">
        <f t="shared" si="36"/>
        <v>0.14583333333575865</v>
      </c>
      <c r="AG78" s="188">
        <f t="shared" si="37"/>
        <v>0</v>
      </c>
    </row>
    <row r="79" spans="2:33" ht="15" customHeight="1" x14ac:dyDescent="0.15">
      <c r="B79" s="174" t="s">
        <v>19</v>
      </c>
      <c r="C79" s="175" t="s">
        <v>15</v>
      </c>
      <c r="D79" s="176" t="str">
        <f t="shared" si="19"/>
        <v>C</v>
      </c>
      <c r="E79" s="177" t="d">
        <v>2021-09-27T04:15:00.00000020954757600</v>
      </c>
      <c r="F79" s="178" t="s">
        <v>77</v>
      </c>
      <c r="G79" s="179">
        <v>1756.21</v>
      </c>
      <c r="H79" s="179">
        <v>1751.23</v>
      </c>
      <c r="I79" s="180">
        <f t="shared" si="20"/>
        <v>4.9800000000000182</v>
      </c>
      <c r="J79" s="179">
        <v>1780.1</v>
      </c>
      <c r="K79" s="177" t="d">
        <v>2021-09-27T11:23:59.99999987427145575</v>
      </c>
      <c r="L79" s="179">
        <v>1751.23</v>
      </c>
      <c r="M79" s="181">
        <f t="shared" si="21"/>
        <v>-4.9800000000000004</v>
      </c>
      <c r="N79" s="182">
        <f t="shared" si="22"/>
        <v>-1</v>
      </c>
      <c r="O79" s="183">
        <f t="shared" si="23"/>
        <v>0</v>
      </c>
      <c r="P79" s="184">
        <f t="shared" si="24"/>
        <v>0</v>
      </c>
      <c r="Q79" s="184">
        <f t="shared" si="25"/>
        <v>-1</v>
      </c>
      <c r="R7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7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26132.5</v>
      </c>
      <c r="T7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79" s="186">
        <f ca="1">IF(Tabla33610673489[[#This Row],[Equity]]&lt;Tabla33610673489[[#This Row],[Equity Peak]],(Tabla33610673489[[#This Row],[Equity Peak]]-Tabla33610673489[[#This Row],[Equity]])/Tabla33610673489[[#This Row],[Equity Peak]],"")</f>
        <v>0.13217102532171027</v>
      </c>
      <c r="V79" s="187">
        <f t="shared" si="26"/>
        <v>0</v>
      </c>
      <c r="W79" s="187">
        <f t="shared" si="27"/>
        <v>0</v>
      </c>
      <c r="X79" s="187">
        <f t="shared" si="28"/>
        <v>-1</v>
      </c>
      <c r="Y79" s="187">
        <f t="shared" si="29"/>
        <v>0</v>
      </c>
      <c r="Z79" s="187">
        <f t="shared" si="30"/>
        <v>0</v>
      </c>
      <c r="AA79" s="183">
        <f t="shared" si="31"/>
        <v>0</v>
      </c>
      <c r="AB79" s="187">
        <f t="shared" si="32"/>
        <v>0</v>
      </c>
      <c r="AC79" s="183">
        <f t="shared" si="33"/>
        <v>0</v>
      </c>
      <c r="AD79" s="188">
        <f t="shared" si="34"/>
        <v>0.29791666666278616</v>
      </c>
      <c r="AE79" s="188">
        <f t="shared" si="35"/>
        <v>0</v>
      </c>
      <c r="AF79" s="188">
        <f t="shared" si="36"/>
        <v>0.29791666666278616</v>
      </c>
      <c r="AG79" s="188">
        <f t="shared" si="37"/>
        <v>0</v>
      </c>
    </row>
    <row r="80" spans="2:33" ht="15" customHeight="1" x14ac:dyDescent="0.15">
      <c r="B80" s="174" t="s">
        <v>19</v>
      </c>
      <c r="C80" s="175" t="s">
        <v>15</v>
      </c>
      <c r="D80" s="176" t="str">
        <f t="shared" si="19"/>
        <v>C</v>
      </c>
      <c r="E80" s="177" t="d">
        <v>2021-09-24T08:45:00.00000020954757600</v>
      </c>
      <c r="F80" s="178" t="s">
        <v>77</v>
      </c>
      <c r="G80" s="179">
        <v>1754.25</v>
      </c>
      <c r="H80" s="179">
        <v>1749.19</v>
      </c>
      <c r="I80" s="180">
        <f t="shared" si="20"/>
        <v>5.0599999999999454</v>
      </c>
      <c r="J80" s="179">
        <v>1778.56</v>
      </c>
      <c r="K80" s="177" t="d">
        <v>2021-09-24T15:02:59.9999999580904875</v>
      </c>
      <c r="L80" s="179">
        <v>1749.19</v>
      </c>
      <c r="M80" s="181">
        <f t="shared" si="21"/>
        <v>-5.0599999999999996</v>
      </c>
      <c r="N80" s="182">
        <f t="shared" si="22"/>
        <v>-1</v>
      </c>
      <c r="O80" s="183">
        <f t="shared" si="23"/>
        <v>0</v>
      </c>
      <c r="P80" s="184">
        <f t="shared" si="24"/>
        <v>0</v>
      </c>
      <c r="Q80" s="184">
        <f t="shared" si="25"/>
        <v>-1</v>
      </c>
      <c r="R8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26382.5</v>
      </c>
      <c r="T8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80" s="186">
        <f ca="1">IF(Tabla33610673489[[#This Row],[Equity]]&lt;Tabla33610673489[[#This Row],[Equity Peak]],(Tabla33610673489[[#This Row],[Equity Peak]]-Tabla33610673489[[#This Row],[Equity]])/Tabla33610673489[[#This Row],[Equity Peak]],"")</f>
        <v>0.12386882523868825</v>
      </c>
      <c r="V80" s="187">
        <f t="shared" si="26"/>
        <v>0</v>
      </c>
      <c r="W80" s="187">
        <f t="shared" si="27"/>
        <v>0</v>
      </c>
      <c r="X80" s="187">
        <f t="shared" si="28"/>
        <v>-1</v>
      </c>
      <c r="Y80" s="187">
        <f t="shared" si="29"/>
        <v>0</v>
      </c>
      <c r="Z80" s="187">
        <f t="shared" si="30"/>
        <v>0</v>
      </c>
      <c r="AA80" s="183">
        <f t="shared" si="31"/>
        <v>0</v>
      </c>
      <c r="AB80" s="187">
        <f t="shared" si="32"/>
        <v>0</v>
      </c>
      <c r="AC80" s="183">
        <f t="shared" si="33"/>
        <v>0</v>
      </c>
      <c r="AD80" s="188">
        <f t="shared" si="34"/>
        <v>0.26249999999708962</v>
      </c>
      <c r="AE80" s="188">
        <f t="shared" si="35"/>
        <v>0</v>
      </c>
      <c r="AF80" s="188">
        <f t="shared" si="36"/>
        <v>0.26249999999708962</v>
      </c>
      <c r="AG80" s="188">
        <f t="shared" si="37"/>
        <v>0</v>
      </c>
    </row>
    <row r="81" spans="2:33" ht="15" customHeight="1" x14ac:dyDescent="0.15">
      <c r="B81" s="174" t="s">
        <v>19</v>
      </c>
      <c r="C81" s="175" t="s">
        <v>15</v>
      </c>
      <c r="D81" s="176" t="str">
        <f t="shared" ref="D81:D112" si="38">IF(E81&lt;&gt;"",IF(K81&lt;&gt;"","C","O"),"")</f>
        <v>C</v>
      </c>
      <c r="E81" s="177" t="d">
        <v>2021-09-23T12:30:00.00000020954757600</v>
      </c>
      <c r="F81" s="178" t="s">
        <v>77</v>
      </c>
      <c r="G81" s="179">
        <v>1771.11</v>
      </c>
      <c r="H81" s="179">
        <v>1766.05</v>
      </c>
      <c r="I81" s="180">
        <f t="shared" ref="I81:I112" si="39">ABS(G81-H81)</f>
        <v>5.0599999999999454</v>
      </c>
      <c r="J81" s="179">
        <v>1795.41</v>
      </c>
      <c r="K81" s="177" t="d">
        <v>2021-09-23T15:52:00.00000011175870900</v>
      </c>
      <c r="L81" s="179">
        <v>1766.05</v>
      </c>
      <c r="M81" s="181">
        <f t="shared" ref="M81:M112" si="40">ROUND(IF(C81="L",(L81-G81),(G81-L81)),4)</f>
        <v>-5.0599999999999996</v>
      </c>
      <c r="N81" s="182">
        <f t="shared" ref="N81:N112" si="41">IFERROR(ROUND((M81/I81),2),"")</f>
        <v>-1</v>
      </c>
      <c r="O81" s="183">
        <f t="shared" ref="O81:O112" si="42">IF(D81="O",IF(N81&lt;0,N81,0),0)</f>
        <v>0</v>
      </c>
      <c r="P81" s="184">
        <f t="shared" ref="P81:P112" si="43">IF(N81&gt;= 0,N81,0)</f>
        <v>0</v>
      </c>
      <c r="Q81" s="184">
        <f t="shared" ref="Q81:Q112" si="44">IF(N81&lt;0,N81,0)</f>
        <v>-1</v>
      </c>
      <c r="R8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26632.5</v>
      </c>
      <c r="T8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81" s="186">
        <f ca="1">IF(Tabla33610673489[[#This Row],[Equity]]&lt;Tabla33610673489[[#This Row],[Equity Peak]],(Tabla33610673489[[#This Row],[Equity Peak]]-Tabla33610673489[[#This Row],[Equity]])/Tabla33610673489[[#This Row],[Equity Peak]],"")</f>
        <v>0.11556662515566625</v>
      </c>
      <c r="V81" s="187">
        <f t="shared" ref="V81:V112" si="45">IF(B81="FX",N81,0)</f>
        <v>0</v>
      </c>
      <c r="W81" s="187">
        <f t="shared" ref="W81:W112" si="46">IF(D81="O",IF(V81&lt;0,V81,0),0)</f>
        <v>0</v>
      </c>
      <c r="X81" s="187">
        <f t="shared" ref="X81:X112" si="47">IF(B81="COM",N81,0)</f>
        <v>-1</v>
      </c>
      <c r="Y81" s="187">
        <f t="shared" ref="Y81:Y112" si="48">IF(D81="O",IF(X81&lt;0,X81,0),0)</f>
        <v>0</v>
      </c>
      <c r="Z81" s="187">
        <f t="shared" ref="Z81:Z112" si="49">IF(B81="IND",N81,0)</f>
        <v>0</v>
      </c>
      <c r="AA81" s="183">
        <f t="shared" ref="AA81:AA112" si="50">IF(D81="O",IF(Z81&lt;0,Z81,0),0)</f>
        <v>0</v>
      </c>
      <c r="AB81" s="187">
        <f t="shared" ref="AB81:AB112" si="51">IF(B81="CRYPTO",N81,0)</f>
        <v>0</v>
      </c>
      <c r="AC81" s="183">
        <f t="shared" ref="AC81:AC112" si="52">IF(D81="O",IF(AB81&lt;0,AB81,0),0)</f>
        <v>0</v>
      </c>
      <c r="AD81" s="188">
        <f t="shared" ref="AD81:AD112" si="53">IF(K81&lt;&gt;"",K81-E81,0)</f>
        <v>0.14027777777664596</v>
      </c>
      <c r="AE81" s="188">
        <f t="shared" ref="AE81:AE112" si="54">IF(N81&gt;0,AD81,0)</f>
        <v>0</v>
      </c>
      <c r="AF81" s="188">
        <f t="shared" ref="AF81:AF112" si="55">IF(N81&lt;0,AD81,0)</f>
        <v>0.14027777777664596</v>
      </c>
      <c r="AG81" s="188">
        <f t="shared" ref="AG81:AG112" si="56">IF(N81=0,AD81,0)</f>
        <v>0</v>
      </c>
    </row>
    <row r="82" spans="2:33" ht="15" customHeight="1" x14ac:dyDescent="0.15">
      <c r="B82" s="174" t="s">
        <v>19</v>
      </c>
      <c r="C82" s="175" t="s">
        <v>15</v>
      </c>
      <c r="D82" s="176" t="str">
        <f t="shared" si="38"/>
        <v>C</v>
      </c>
      <c r="E82" s="177" t="d">
        <v>2021-09-20T11:45:00.00000020954757600</v>
      </c>
      <c r="F82" s="178" t="s">
        <v>77</v>
      </c>
      <c r="G82" s="179">
        <v>1756.63</v>
      </c>
      <c r="H82" s="179">
        <v>1751.99</v>
      </c>
      <c r="I82" s="180">
        <f t="shared" si="39"/>
        <v>4.6400000000001</v>
      </c>
      <c r="J82" s="179">
        <v>1778.9</v>
      </c>
      <c r="K82" s="177" t="d">
        <v>2021-09-21T18:08:59.99999987427145575</v>
      </c>
      <c r="L82" s="179">
        <v>1778.9</v>
      </c>
      <c r="M82" s="181">
        <f t="shared" si="40"/>
        <v>22.27</v>
      </c>
      <c r="N82" s="182">
        <f t="shared" si="41"/>
        <v>4.8</v>
      </c>
      <c r="O82" s="183">
        <f t="shared" si="42"/>
        <v>0</v>
      </c>
      <c r="P82" s="184">
        <f t="shared" si="43"/>
        <v>4.8</v>
      </c>
      <c r="Q82" s="184">
        <f t="shared" si="44"/>
        <v>0</v>
      </c>
      <c r="R8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26882.5</v>
      </c>
      <c r="T8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82" s="186">
        <f ca="1">IF(Tabla33610673489[[#This Row],[Equity]]&lt;Tabla33610673489[[#This Row],[Equity Peak]],(Tabla33610673489[[#This Row],[Equity Peak]]-Tabla33610673489[[#This Row],[Equity]])/Tabla33610673489[[#This Row],[Equity Peak]],"")</f>
        <v>0.10726442507264425</v>
      </c>
      <c r="V82" s="187">
        <f t="shared" si="45"/>
        <v>0</v>
      </c>
      <c r="W82" s="187">
        <f t="shared" si="46"/>
        <v>0</v>
      </c>
      <c r="X82" s="187">
        <f t="shared" si="47"/>
        <v>4.8</v>
      </c>
      <c r="Y82" s="187">
        <f t="shared" si="48"/>
        <v>0</v>
      </c>
      <c r="Z82" s="187">
        <f t="shared" si="49"/>
        <v>0</v>
      </c>
      <c r="AA82" s="183">
        <f t="shared" si="50"/>
        <v>0</v>
      </c>
      <c r="AB82" s="187">
        <f t="shared" si="51"/>
        <v>0</v>
      </c>
      <c r="AC82" s="183">
        <f t="shared" si="52"/>
        <v>0</v>
      </c>
      <c r="AD82" s="188">
        <f t="shared" si="53"/>
        <v>1.2666666666627862</v>
      </c>
      <c r="AE82" s="188">
        <f t="shared" si="54"/>
        <v>1.2666666666627862</v>
      </c>
      <c r="AF82" s="188">
        <f t="shared" si="55"/>
        <v>0</v>
      </c>
      <c r="AG82" s="188">
        <f t="shared" si="56"/>
        <v>0</v>
      </c>
    </row>
    <row r="83" spans="2:33" ht="15" customHeight="1" x14ac:dyDescent="0.15">
      <c r="B83" s="174" t="s">
        <v>19</v>
      </c>
      <c r="C83" s="175" t="s">
        <v>15</v>
      </c>
      <c r="D83" s="176" t="str">
        <f t="shared" si="38"/>
        <v>C</v>
      </c>
      <c r="E83" s="177" t="d">
        <v>2021-09-17T08:00:00.00000020954757600</v>
      </c>
      <c r="F83" s="178" t="s">
        <v>77</v>
      </c>
      <c r="G83" s="179">
        <v>1760.58</v>
      </c>
      <c r="H83" s="179">
        <v>1756.15</v>
      </c>
      <c r="I83" s="180">
        <f t="shared" si="39"/>
        <v>4.4299999999998363</v>
      </c>
      <c r="J83" s="179">
        <v>1781.84</v>
      </c>
      <c r="K83" s="177" t="d">
        <v>2021-09-17T15:39:00.00000008381903175</v>
      </c>
      <c r="L83" s="179">
        <v>1757.29</v>
      </c>
      <c r="M83" s="181">
        <f t="shared" si="40"/>
        <v>-3.29</v>
      </c>
      <c r="N83" s="182">
        <f t="shared" si="41"/>
        <v>-0.74</v>
      </c>
      <c r="O83" s="183">
        <f t="shared" si="42"/>
        <v>0</v>
      </c>
      <c r="P83" s="184">
        <f t="shared" si="43"/>
        <v>0</v>
      </c>
      <c r="Q83" s="184">
        <f t="shared" si="44"/>
        <v>-0.74</v>
      </c>
      <c r="R8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25682.5</v>
      </c>
      <c r="T8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83" s="186">
        <f ca="1">IF(Tabla33610673489[[#This Row],[Equity]]&lt;Tabla33610673489[[#This Row],[Equity Peak]],(Tabla33610673489[[#This Row],[Equity Peak]]-Tabla33610673489[[#This Row],[Equity]])/Tabla33610673489[[#This Row],[Equity Peak]],"")</f>
        <v>0.14711498547114985</v>
      </c>
      <c r="V83" s="187">
        <f t="shared" si="45"/>
        <v>0</v>
      </c>
      <c r="W83" s="187">
        <f t="shared" si="46"/>
        <v>0</v>
      </c>
      <c r="X83" s="187">
        <f t="shared" si="47"/>
        <v>-0.74</v>
      </c>
      <c r="Y83" s="187">
        <f t="shared" si="48"/>
        <v>0</v>
      </c>
      <c r="Z83" s="187">
        <f t="shared" si="49"/>
        <v>0</v>
      </c>
      <c r="AA83" s="183">
        <f t="shared" si="50"/>
        <v>0</v>
      </c>
      <c r="AB83" s="187">
        <f t="shared" si="51"/>
        <v>0</v>
      </c>
      <c r="AC83" s="183">
        <f t="shared" si="52"/>
        <v>0</v>
      </c>
      <c r="AD83" s="188">
        <f t="shared" si="53"/>
        <v>0.31874999999854481</v>
      </c>
      <c r="AE83" s="188">
        <f t="shared" si="54"/>
        <v>0</v>
      </c>
      <c r="AF83" s="188">
        <f t="shared" si="55"/>
        <v>0.31874999999854481</v>
      </c>
      <c r="AG83" s="188">
        <f t="shared" si="56"/>
        <v>0</v>
      </c>
    </row>
    <row r="84" spans="2:33" ht="15" customHeight="1" x14ac:dyDescent="0.15">
      <c r="B84" s="174" t="s">
        <v>19</v>
      </c>
      <c r="C84" s="175" t="s">
        <v>15</v>
      </c>
      <c r="D84" s="176" t="str">
        <f t="shared" si="38"/>
        <v>C</v>
      </c>
      <c r="E84" s="177" t="d">
        <v>2021-09-15T15:30:00.00000020954757600</v>
      </c>
      <c r="F84" s="178" t="s">
        <v>77</v>
      </c>
      <c r="G84" s="179">
        <v>1806.75</v>
      </c>
      <c r="H84" s="179">
        <v>1802.26</v>
      </c>
      <c r="I84" s="180">
        <f t="shared" si="39"/>
        <v>4.4900000000000091</v>
      </c>
      <c r="J84" s="179">
        <v>1828.3</v>
      </c>
      <c r="K84" s="177" t="d">
        <v>2021-09-15T15:36:59.99999969266355025</v>
      </c>
      <c r="L84" s="179">
        <v>1802.26</v>
      </c>
      <c r="M84" s="181">
        <f t="shared" si="40"/>
        <v>-4.49</v>
      </c>
      <c r="N84" s="182">
        <f t="shared" si="41"/>
        <v>-1</v>
      </c>
      <c r="O84" s="183">
        <f t="shared" si="42"/>
        <v>0</v>
      </c>
      <c r="P84" s="184">
        <f t="shared" si="43"/>
        <v>0</v>
      </c>
      <c r="Q84" s="184">
        <f t="shared" si="44"/>
        <v>-1</v>
      </c>
      <c r="R8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25867.5</v>
      </c>
      <c r="T8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84" s="186">
        <f ca="1">IF(Tabla33610673489[[#This Row],[Equity]]&lt;Tabla33610673489[[#This Row],[Equity Peak]],(Tabla33610673489[[#This Row],[Equity Peak]]-Tabla33610673489[[#This Row],[Equity]])/Tabla33610673489[[#This Row],[Equity Peak]],"")</f>
        <v>0.14097135740971359</v>
      </c>
      <c r="V84" s="187">
        <f t="shared" si="45"/>
        <v>0</v>
      </c>
      <c r="W84" s="187">
        <f t="shared" si="46"/>
        <v>0</v>
      </c>
      <c r="X84" s="187">
        <f t="shared" si="47"/>
        <v>-1</v>
      </c>
      <c r="Y84" s="187">
        <f t="shared" si="48"/>
        <v>0</v>
      </c>
      <c r="Z84" s="187">
        <f t="shared" si="49"/>
        <v>0</v>
      </c>
      <c r="AA84" s="183">
        <f t="shared" si="50"/>
        <v>0</v>
      </c>
      <c r="AB84" s="187">
        <f t="shared" si="51"/>
        <v>0</v>
      </c>
      <c r="AC84" s="183">
        <f t="shared" si="52"/>
        <v>0</v>
      </c>
      <c r="AD84" s="188">
        <f t="shared" si="53"/>
        <v>4.8611111051286571E-3</v>
      </c>
      <c r="AE84" s="188">
        <f t="shared" si="54"/>
        <v>0</v>
      </c>
      <c r="AF84" s="188">
        <f t="shared" si="55"/>
        <v>4.8611111051286571E-3</v>
      </c>
      <c r="AG84" s="188">
        <f t="shared" si="56"/>
        <v>0</v>
      </c>
    </row>
    <row r="85" spans="2:33" ht="15" customHeight="1" x14ac:dyDescent="0.15">
      <c r="B85" s="174" t="s">
        <v>19</v>
      </c>
      <c r="C85" s="175" t="s">
        <v>15</v>
      </c>
      <c r="D85" s="176" t="str">
        <f t="shared" si="38"/>
        <v>C</v>
      </c>
      <c r="E85" s="177" t="d">
        <v>2021-09-14T17:45:00.00000020954757600</v>
      </c>
      <c r="F85" s="178" t="s">
        <v>77</v>
      </c>
      <c r="G85" s="179">
        <v>1806.3</v>
      </c>
      <c r="H85" s="179">
        <v>1801.6</v>
      </c>
      <c r="I85" s="180">
        <f t="shared" si="39"/>
        <v>4.7000000000000455</v>
      </c>
      <c r="J85" s="179">
        <v>1828.88</v>
      </c>
      <c r="K85" s="177" t="d">
        <v>2021-09-15T04:09:00.00000029336660775</v>
      </c>
      <c r="L85" s="179">
        <v>1801.6</v>
      </c>
      <c r="M85" s="181">
        <f t="shared" si="40"/>
        <v>-4.7</v>
      </c>
      <c r="N85" s="182">
        <f t="shared" si="41"/>
        <v>-1</v>
      </c>
      <c r="O85" s="183">
        <f t="shared" si="42"/>
        <v>0</v>
      </c>
      <c r="P85" s="184">
        <f t="shared" si="43"/>
        <v>0</v>
      </c>
      <c r="Q85" s="184">
        <f t="shared" si="44"/>
        <v>-1</v>
      </c>
      <c r="R8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26117.5</v>
      </c>
      <c r="T8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85" s="186">
        <f ca="1">IF(Tabla33610673489[[#This Row],[Equity]]&lt;Tabla33610673489[[#This Row],[Equity Peak]],(Tabla33610673489[[#This Row],[Equity Peak]]-Tabla33610673489[[#This Row],[Equity]])/Tabla33610673489[[#This Row],[Equity Peak]],"")</f>
        <v>0.13266915732669157</v>
      </c>
      <c r="V85" s="187">
        <f t="shared" si="45"/>
        <v>0</v>
      </c>
      <c r="W85" s="187">
        <f t="shared" si="46"/>
        <v>0</v>
      </c>
      <c r="X85" s="187">
        <f t="shared" si="47"/>
        <v>-1</v>
      </c>
      <c r="Y85" s="187">
        <f t="shared" si="48"/>
        <v>0</v>
      </c>
      <c r="Z85" s="187">
        <f t="shared" si="49"/>
        <v>0</v>
      </c>
      <c r="AA85" s="183">
        <f t="shared" si="50"/>
        <v>0</v>
      </c>
      <c r="AB85" s="187">
        <f t="shared" si="51"/>
        <v>0</v>
      </c>
      <c r="AC85" s="183">
        <f t="shared" si="52"/>
        <v>0</v>
      </c>
      <c r="AD85" s="188">
        <f t="shared" si="53"/>
        <v>0.43333333333430346</v>
      </c>
      <c r="AE85" s="188">
        <f t="shared" si="54"/>
        <v>0</v>
      </c>
      <c r="AF85" s="188">
        <f t="shared" si="55"/>
        <v>0.43333333333430346</v>
      </c>
      <c r="AG85" s="188">
        <f t="shared" si="56"/>
        <v>0</v>
      </c>
    </row>
    <row r="86" spans="2:33" ht="15" customHeight="1" x14ac:dyDescent="0.15">
      <c r="B86" s="174" t="s">
        <v>19</v>
      </c>
      <c r="C86" s="175" t="s">
        <v>15</v>
      </c>
      <c r="D86" s="176" t="str">
        <f t="shared" si="38"/>
        <v>C</v>
      </c>
      <c r="E86" s="177" t="d">
        <v>2021-09-14T15:59:59.99999979045242400</v>
      </c>
      <c r="F86" s="178" t="s">
        <v>77</v>
      </c>
      <c r="G86" s="179">
        <v>1797.29</v>
      </c>
      <c r="H86" s="179">
        <v>1792.7</v>
      </c>
      <c r="I86" s="180">
        <f t="shared" si="39"/>
        <v>4.5899999999999181</v>
      </c>
      <c r="J86" s="179">
        <v>1819.31</v>
      </c>
      <c r="K86" s="177" t="d">
        <v>2021-09-14T16:38:59.99999987427145575</v>
      </c>
      <c r="L86" s="179">
        <v>1792.7</v>
      </c>
      <c r="M86" s="181">
        <f t="shared" si="40"/>
        <v>-4.59</v>
      </c>
      <c r="N86" s="182">
        <f t="shared" si="41"/>
        <v>-1</v>
      </c>
      <c r="O86" s="183">
        <f t="shared" si="42"/>
        <v>0</v>
      </c>
      <c r="P86" s="184">
        <f t="shared" si="43"/>
        <v>0</v>
      </c>
      <c r="Q86" s="184">
        <f t="shared" si="44"/>
        <v>-1</v>
      </c>
      <c r="R8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26367.5</v>
      </c>
      <c r="T8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86" s="186">
        <f ca="1">IF(Tabla33610673489[[#This Row],[Equity]]&lt;Tabla33610673489[[#This Row],[Equity Peak]],(Tabla33610673489[[#This Row],[Equity Peak]]-Tabla33610673489[[#This Row],[Equity]])/Tabla33610673489[[#This Row],[Equity Peak]],"")</f>
        <v>0.12436695724366957</v>
      </c>
      <c r="V86" s="187">
        <f t="shared" si="45"/>
        <v>0</v>
      </c>
      <c r="W86" s="187">
        <f t="shared" si="46"/>
        <v>0</v>
      </c>
      <c r="X86" s="187">
        <f t="shared" si="47"/>
        <v>-1</v>
      </c>
      <c r="Y86" s="187">
        <f t="shared" si="48"/>
        <v>0</v>
      </c>
      <c r="Z86" s="187">
        <f t="shared" si="49"/>
        <v>0</v>
      </c>
      <c r="AA86" s="183">
        <f t="shared" si="50"/>
        <v>0</v>
      </c>
      <c r="AB86" s="187">
        <f t="shared" si="51"/>
        <v>0</v>
      </c>
      <c r="AC86" s="183">
        <f t="shared" si="52"/>
        <v>0</v>
      </c>
      <c r="AD86" s="188">
        <f t="shared" si="53"/>
        <v>2.7083333334303461E-2</v>
      </c>
      <c r="AE86" s="188">
        <f t="shared" si="54"/>
        <v>0</v>
      </c>
      <c r="AF86" s="188">
        <f t="shared" si="55"/>
        <v>2.7083333334303461E-2</v>
      </c>
      <c r="AG86" s="188">
        <f t="shared" si="56"/>
        <v>0</v>
      </c>
    </row>
    <row r="87" spans="2:33" ht="15" customHeight="1" x14ac:dyDescent="0.15">
      <c r="B87" s="174" t="s">
        <v>19</v>
      </c>
      <c r="C87" s="175" t="s">
        <v>15</v>
      </c>
      <c r="D87" s="176" t="str">
        <f t="shared" si="38"/>
        <v>C</v>
      </c>
      <c r="E87" s="177" t="d">
        <v>2021-09-13T17:00:00.00000020954757600</v>
      </c>
      <c r="F87" s="178" t="s">
        <v>77</v>
      </c>
      <c r="G87" s="179">
        <v>1794.02</v>
      </c>
      <c r="H87" s="179">
        <v>1789.66</v>
      </c>
      <c r="I87" s="180">
        <f t="shared" si="39"/>
        <v>4.3599999999999</v>
      </c>
      <c r="J87" s="179">
        <v>1814.96</v>
      </c>
      <c r="K87" s="177" t="d">
        <v>2021-09-14T11:06:00.00000012572854425</v>
      </c>
      <c r="L87" s="179">
        <v>1789.66</v>
      </c>
      <c r="M87" s="181">
        <f t="shared" si="40"/>
        <v>-4.3600000000000003</v>
      </c>
      <c r="N87" s="182">
        <f t="shared" si="41"/>
        <v>-1</v>
      </c>
      <c r="O87" s="183">
        <f t="shared" si="42"/>
        <v>0</v>
      </c>
      <c r="P87" s="184">
        <f t="shared" si="43"/>
        <v>0</v>
      </c>
      <c r="Q87" s="184">
        <f t="shared" si="44"/>
        <v>-1</v>
      </c>
      <c r="R8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26617.5</v>
      </c>
      <c r="T8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87" s="186">
        <f ca="1">IF(Tabla33610673489[[#This Row],[Equity]]&lt;Tabla33610673489[[#This Row],[Equity Peak]],(Tabla33610673489[[#This Row],[Equity Peak]]-Tabla33610673489[[#This Row],[Equity]])/Tabla33610673489[[#This Row],[Equity Peak]],"")</f>
        <v>0.11606475716064757</v>
      </c>
      <c r="V87" s="187">
        <f t="shared" si="45"/>
        <v>0</v>
      </c>
      <c r="W87" s="187">
        <f t="shared" si="46"/>
        <v>0</v>
      </c>
      <c r="X87" s="187">
        <f t="shared" si="47"/>
        <v>-1</v>
      </c>
      <c r="Y87" s="187">
        <f t="shared" si="48"/>
        <v>0</v>
      </c>
      <c r="Z87" s="187">
        <f t="shared" si="49"/>
        <v>0</v>
      </c>
      <c r="AA87" s="183">
        <f t="shared" si="50"/>
        <v>0</v>
      </c>
      <c r="AB87" s="187">
        <f t="shared" si="51"/>
        <v>0</v>
      </c>
      <c r="AC87" s="183">
        <f t="shared" si="52"/>
        <v>0</v>
      </c>
      <c r="AD87" s="188">
        <f t="shared" si="53"/>
        <v>0.75416666666569654</v>
      </c>
      <c r="AE87" s="188">
        <f t="shared" si="54"/>
        <v>0</v>
      </c>
      <c r="AF87" s="188">
        <f t="shared" si="55"/>
        <v>0.75416666666569654</v>
      </c>
      <c r="AG87" s="188">
        <f t="shared" si="56"/>
        <v>0</v>
      </c>
    </row>
    <row r="88" spans="2:33" ht="15" customHeight="1" x14ac:dyDescent="0.15">
      <c r="B88" s="174" t="s">
        <v>19</v>
      </c>
      <c r="C88" s="175" t="s">
        <v>15</v>
      </c>
      <c r="D88" s="176" t="str">
        <f t="shared" si="38"/>
        <v>C</v>
      </c>
      <c r="E88" s="177" t="d">
        <v>2021-09-10T06:00:00.000</v>
      </c>
      <c r="F88" s="178" t="s">
        <v>77</v>
      </c>
      <c r="G88" s="179">
        <v>1799.89</v>
      </c>
      <c r="H88" s="179">
        <v>1795.73</v>
      </c>
      <c r="I88" s="180">
        <f t="shared" si="39"/>
        <v>4.1600000000000819</v>
      </c>
      <c r="J88" s="179">
        <v>1819.88</v>
      </c>
      <c r="K88" s="177" t="d">
        <v>2021-09-10T13:09:00.00000029336660775</v>
      </c>
      <c r="L88" s="179">
        <v>1795.73</v>
      </c>
      <c r="M88" s="181">
        <f t="shared" si="40"/>
        <v>-4.16</v>
      </c>
      <c r="N88" s="182">
        <f t="shared" si="41"/>
        <v>-1</v>
      </c>
      <c r="O88" s="183">
        <f t="shared" si="42"/>
        <v>0</v>
      </c>
      <c r="P88" s="184">
        <f t="shared" si="43"/>
        <v>0</v>
      </c>
      <c r="Q88" s="184">
        <f t="shared" si="44"/>
        <v>-1</v>
      </c>
      <c r="R8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26867.5</v>
      </c>
      <c r="T8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88" s="186">
        <f ca="1">IF(Tabla33610673489[[#This Row],[Equity]]&lt;Tabla33610673489[[#This Row],[Equity Peak]],(Tabla33610673489[[#This Row],[Equity Peak]]-Tabla33610673489[[#This Row],[Equity]])/Tabla33610673489[[#This Row],[Equity Peak]],"")</f>
        <v>0.10776255707762557</v>
      </c>
      <c r="V88" s="187">
        <f t="shared" si="45"/>
        <v>0</v>
      </c>
      <c r="W88" s="187">
        <f t="shared" si="46"/>
        <v>0</v>
      </c>
      <c r="X88" s="187">
        <f t="shared" si="47"/>
        <v>-1</v>
      </c>
      <c r="Y88" s="187">
        <f t="shared" si="48"/>
        <v>0</v>
      </c>
      <c r="Z88" s="187">
        <f t="shared" si="49"/>
        <v>0</v>
      </c>
      <c r="AA88" s="183">
        <f t="shared" si="50"/>
        <v>0</v>
      </c>
      <c r="AB88" s="187">
        <f t="shared" si="51"/>
        <v>0</v>
      </c>
      <c r="AC88" s="183">
        <f t="shared" si="52"/>
        <v>0</v>
      </c>
      <c r="AD88" s="188">
        <f t="shared" si="53"/>
        <v>0.29791666667006211</v>
      </c>
      <c r="AE88" s="188">
        <f t="shared" si="54"/>
        <v>0</v>
      </c>
      <c r="AF88" s="188">
        <f t="shared" si="55"/>
        <v>0.29791666667006211</v>
      </c>
      <c r="AG88" s="188">
        <f t="shared" si="56"/>
        <v>0</v>
      </c>
    </row>
    <row r="89" spans="2:33" ht="15" customHeight="1" x14ac:dyDescent="0.15">
      <c r="B89" s="174" t="s">
        <v>19</v>
      </c>
      <c r="C89" s="175" t="s">
        <v>15</v>
      </c>
      <c r="D89" s="176" t="str">
        <f t="shared" si="38"/>
        <v>C</v>
      </c>
      <c r="E89" s="177" t="d">
        <v>2021-09-09T14:29:59.99999979045242400</v>
      </c>
      <c r="F89" s="178" t="s">
        <v>77</v>
      </c>
      <c r="G89" s="179">
        <v>1799.83</v>
      </c>
      <c r="H89" s="179">
        <v>1795.89</v>
      </c>
      <c r="I89" s="180">
        <f t="shared" si="39"/>
        <v>3.9399999999998272</v>
      </c>
      <c r="J89" s="179">
        <v>1818.74</v>
      </c>
      <c r="K89" s="177" t="d">
        <v>2021-09-09T15:30:00.00000020954757600</v>
      </c>
      <c r="L89" s="179">
        <v>1795.89</v>
      </c>
      <c r="M89" s="181">
        <f t="shared" si="40"/>
        <v>-3.94</v>
      </c>
      <c r="N89" s="182">
        <f t="shared" si="41"/>
        <v>-1</v>
      </c>
      <c r="O89" s="183">
        <f t="shared" si="42"/>
        <v>0</v>
      </c>
      <c r="P89" s="184">
        <f t="shared" si="43"/>
        <v>0</v>
      </c>
      <c r="Q89" s="184">
        <f t="shared" si="44"/>
        <v>-1</v>
      </c>
      <c r="R8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8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27117.5</v>
      </c>
      <c r="T8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89" s="186">
        <f ca="1">IF(Tabla33610673489[[#This Row],[Equity]]&lt;Tabla33610673489[[#This Row],[Equity Peak]],(Tabla33610673489[[#This Row],[Equity Peak]]-Tabla33610673489[[#This Row],[Equity]])/Tabla33610673489[[#This Row],[Equity Peak]],"")</f>
        <v>9.9460356994603566E-2</v>
      </c>
      <c r="V89" s="187">
        <f t="shared" si="45"/>
        <v>0</v>
      </c>
      <c r="W89" s="187">
        <f t="shared" si="46"/>
        <v>0</v>
      </c>
      <c r="X89" s="187">
        <f t="shared" si="47"/>
        <v>-1</v>
      </c>
      <c r="Y89" s="187">
        <f t="shared" si="48"/>
        <v>0</v>
      </c>
      <c r="Z89" s="187">
        <f t="shared" si="49"/>
        <v>0</v>
      </c>
      <c r="AA89" s="183">
        <f t="shared" si="50"/>
        <v>0</v>
      </c>
      <c r="AB89" s="187">
        <f t="shared" si="51"/>
        <v>0</v>
      </c>
      <c r="AC89" s="183">
        <f t="shared" si="52"/>
        <v>0</v>
      </c>
      <c r="AD89" s="188">
        <f t="shared" si="53"/>
        <v>4.1666666671517305E-2</v>
      </c>
      <c r="AE89" s="188">
        <f t="shared" si="54"/>
        <v>0</v>
      </c>
      <c r="AF89" s="188">
        <f t="shared" si="55"/>
        <v>4.1666666671517305E-2</v>
      </c>
      <c r="AG89" s="188">
        <f t="shared" si="56"/>
        <v>0</v>
      </c>
    </row>
    <row r="90" spans="2:33" ht="15" customHeight="1" x14ac:dyDescent="0.15">
      <c r="B90" s="174" t="s">
        <v>19</v>
      </c>
      <c r="C90" s="175" t="s">
        <v>15</v>
      </c>
      <c r="D90" s="176" t="str">
        <f t="shared" si="38"/>
        <v>C</v>
      </c>
      <c r="E90" s="177" t="d">
        <v>2021-09-03T05:29:59.99999979045242400</v>
      </c>
      <c r="F90" s="178" t="s">
        <v>77</v>
      </c>
      <c r="G90" s="179">
        <v>1814.06</v>
      </c>
      <c r="H90" s="179">
        <v>1810.01</v>
      </c>
      <c r="I90" s="180">
        <f t="shared" si="39"/>
        <v>4.0499999999999545</v>
      </c>
      <c r="J90" s="179">
        <v>1833.5</v>
      </c>
      <c r="K90" s="177" t="d">
        <v>2021-09-03T16:38:59.99999987427145575</v>
      </c>
      <c r="L90" s="179">
        <v>1820.71</v>
      </c>
      <c r="M90" s="181">
        <f t="shared" si="40"/>
        <v>6.65</v>
      </c>
      <c r="N90" s="182">
        <f t="shared" si="41"/>
        <v>1.64</v>
      </c>
      <c r="O90" s="183">
        <f t="shared" si="42"/>
        <v>0</v>
      </c>
      <c r="P90" s="184">
        <f t="shared" si="43"/>
        <v>1.64</v>
      </c>
      <c r="Q90" s="184">
        <f t="shared" si="44"/>
        <v>0</v>
      </c>
      <c r="R9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9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27367.5</v>
      </c>
      <c r="T9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90" s="186">
        <f ca="1">IF(Tabla33610673489[[#This Row],[Equity]]&lt;Tabla33610673489[[#This Row],[Equity Peak]],(Tabla33610673489[[#This Row],[Equity Peak]]-Tabla33610673489[[#This Row],[Equity]])/Tabla33610673489[[#This Row],[Equity Peak]],"")</f>
        <v>9.1158156911581564E-2</v>
      </c>
      <c r="V90" s="187">
        <f t="shared" si="45"/>
        <v>0</v>
      </c>
      <c r="W90" s="187">
        <f t="shared" si="46"/>
        <v>0</v>
      </c>
      <c r="X90" s="187">
        <f t="shared" si="47"/>
        <v>1.64</v>
      </c>
      <c r="Y90" s="187">
        <f t="shared" si="48"/>
        <v>0</v>
      </c>
      <c r="Z90" s="187">
        <f t="shared" si="49"/>
        <v>0</v>
      </c>
      <c r="AA90" s="183">
        <f t="shared" si="50"/>
        <v>0</v>
      </c>
      <c r="AB90" s="187">
        <f t="shared" si="51"/>
        <v>0</v>
      </c>
      <c r="AC90" s="183">
        <f t="shared" si="52"/>
        <v>0</v>
      </c>
      <c r="AD90" s="188">
        <f t="shared" si="53"/>
        <v>0.46458333333430346</v>
      </c>
      <c r="AE90" s="188">
        <f t="shared" si="54"/>
        <v>0.46458333333430346</v>
      </c>
      <c r="AF90" s="188">
        <f t="shared" si="55"/>
        <v>0</v>
      </c>
      <c r="AG90" s="188">
        <f t="shared" si="56"/>
        <v>0</v>
      </c>
    </row>
    <row r="91" spans="2:33" ht="15" customHeight="1" x14ac:dyDescent="0.15">
      <c r="B91" s="174" t="s">
        <v>19</v>
      </c>
      <c r="C91" s="175" t="s">
        <v>15</v>
      </c>
      <c r="D91" s="176" t="str">
        <f t="shared" si="38"/>
        <v>C</v>
      </c>
      <c r="E91" s="177" t="d">
        <v>2021-09-02T12:45:00.000</v>
      </c>
      <c r="F91" s="178" t="s">
        <v>77</v>
      </c>
      <c r="G91" s="179">
        <v>1816.48</v>
      </c>
      <c r="H91" s="179">
        <v>1812.26</v>
      </c>
      <c r="I91" s="180">
        <f t="shared" si="39"/>
        <v>4.2200000000000273</v>
      </c>
      <c r="J91" s="179">
        <v>1836.75</v>
      </c>
      <c r="K91" s="177" t="d">
        <v>2021-09-02T15:24:00.00000029336660775</v>
      </c>
      <c r="L91" s="179">
        <v>1812.26</v>
      </c>
      <c r="M91" s="181">
        <f t="shared" si="40"/>
        <v>-4.22</v>
      </c>
      <c r="N91" s="182">
        <f t="shared" si="41"/>
        <v>-1</v>
      </c>
      <c r="O91" s="183">
        <f t="shared" si="42"/>
        <v>0</v>
      </c>
      <c r="P91" s="184">
        <f t="shared" si="43"/>
        <v>0</v>
      </c>
      <c r="Q91" s="184">
        <f t="shared" si="44"/>
        <v>-1</v>
      </c>
      <c r="R9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9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26957.5</v>
      </c>
      <c r="T9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91" s="186">
        <f ca="1">IF(Tabla33610673489[[#This Row],[Equity]]&lt;Tabla33610673489[[#This Row],[Equity Peak]],(Tabla33610673489[[#This Row],[Equity Peak]]-Tabla33610673489[[#This Row],[Equity]])/Tabla33610673489[[#This Row],[Equity Peak]],"")</f>
        <v>0.10477376504773765</v>
      </c>
      <c r="V91" s="187">
        <f t="shared" si="45"/>
        <v>0</v>
      </c>
      <c r="W91" s="187">
        <f t="shared" si="46"/>
        <v>0</v>
      </c>
      <c r="X91" s="187">
        <f t="shared" si="47"/>
        <v>-1</v>
      </c>
      <c r="Y91" s="187">
        <f t="shared" si="48"/>
        <v>0</v>
      </c>
      <c r="Z91" s="187">
        <f t="shared" si="49"/>
        <v>0</v>
      </c>
      <c r="AA91" s="183">
        <f t="shared" si="50"/>
        <v>0</v>
      </c>
      <c r="AB91" s="187">
        <f t="shared" si="51"/>
        <v>0</v>
      </c>
      <c r="AC91" s="183">
        <f t="shared" si="52"/>
        <v>0</v>
      </c>
      <c r="AD91" s="188">
        <f t="shared" si="53"/>
        <v>0.11041666667006211</v>
      </c>
      <c r="AE91" s="188">
        <f t="shared" si="54"/>
        <v>0</v>
      </c>
      <c r="AF91" s="188">
        <f t="shared" si="55"/>
        <v>0.11041666667006211</v>
      </c>
      <c r="AG91" s="188">
        <f t="shared" si="56"/>
        <v>0</v>
      </c>
    </row>
    <row r="92" spans="2:33" ht="15" customHeight="1" x14ac:dyDescent="0.15">
      <c r="B92" s="174" t="s">
        <v>19</v>
      </c>
      <c r="C92" s="175" t="s">
        <v>15</v>
      </c>
      <c r="D92" s="176" t="str">
        <f t="shared" si="38"/>
        <v>C</v>
      </c>
      <c r="E92" s="177" t="d">
        <v>2021-09-01T15:45:00.000</v>
      </c>
      <c r="F92" s="178" t="s">
        <v>77</v>
      </c>
      <c r="G92" s="179">
        <v>1817.54</v>
      </c>
      <c r="H92" s="179">
        <v>1813.13</v>
      </c>
      <c r="I92" s="180">
        <f t="shared" si="39"/>
        <v>4.4099999999998545</v>
      </c>
      <c r="J92" s="179">
        <v>1838.71</v>
      </c>
      <c r="K92" s="177" t="d">
        <v>2021-09-01T16:09:00.00000029336660775</v>
      </c>
      <c r="L92" s="179">
        <v>1813.13</v>
      </c>
      <c r="M92" s="181">
        <f t="shared" si="40"/>
        <v>-4.41</v>
      </c>
      <c r="N92" s="182">
        <f t="shared" si="41"/>
        <v>-1</v>
      </c>
      <c r="O92" s="183">
        <f t="shared" si="42"/>
        <v>0</v>
      </c>
      <c r="P92" s="184">
        <f t="shared" si="43"/>
        <v>0</v>
      </c>
      <c r="Q92" s="184">
        <f t="shared" si="44"/>
        <v>-1</v>
      </c>
      <c r="R9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9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27207.5</v>
      </c>
      <c r="T9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92" s="186">
        <f ca="1">IF(Tabla33610673489[[#This Row],[Equity]]&lt;Tabla33610673489[[#This Row],[Equity Peak]],(Tabla33610673489[[#This Row],[Equity Peak]]-Tabla33610673489[[#This Row],[Equity]])/Tabla33610673489[[#This Row],[Equity Peak]],"")</f>
        <v>9.647156496471565E-2</v>
      </c>
      <c r="V92" s="187">
        <f t="shared" si="45"/>
        <v>0</v>
      </c>
      <c r="W92" s="187">
        <f t="shared" si="46"/>
        <v>0</v>
      </c>
      <c r="X92" s="187">
        <f t="shared" si="47"/>
        <v>-1</v>
      </c>
      <c r="Y92" s="187">
        <f t="shared" si="48"/>
        <v>0</v>
      </c>
      <c r="Z92" s="187">
        <f t="shared" si="49"/>
        <v>0</v>
      </c>
      <c r="AA92" s="183">
        <f t="shared" si="50"/>
        <v>0</v>
      </c>
      <c r="AB92" s="187">
        <f t="shared" si="51"/>
        <v>0</v>
      </c>
      <c r="AC92" s="183">
        <f t="shared" si="52"/>
        <v>0</v>
      </c>
      <c r="AD92" s="188">
        <f t="shared" si="53"/>
        <v>1.6666666670062114E-2</v>
      </c>
      <c r="AE92" s="188">
        <f t="shared" si="54"/>
        <v>0</v>
      </c>
      <c r="AF92" s="188">
        <f t="shared" si="55"/>
        <v>1.6666666670062114E-2</v>
      </c>
      <c r="AG92" s="188">
        <f t="shared" si="56"/>
        <v>0</v>
      </c>
    </row>
    <row r="93" spans="2:33" ht="15" customHeight="1" x14ac:dyDescent="0.15">
      <c r="B93" s="174" t="s">
        <v>19</v>
      </c>
      <c r="C93" s="175" t="s">
        <v>15</v>
      </c>
      <c r="D93" s="176" t="str">
        <f t="shared" si="38"/>
        <v>C</v>
      </c>
      <c r="E93" s="177" t="d">
        <v>2021-08-27T17:45:00.00000020954757600</v>
      </c>
      <c r="F93" s="178" t="s">
        <v>77</v>
      </c>
      <c r="G93" s="179">
        <v>1807.27</v>
      </c>
      <c r="H93" s="179">
        <v>1802.79</v>
      </c>
      <c r="I93" s="180">
        <f t="shared" si="39"/>
        <v>4.4800000000000182</v>
      </c>
      <c r="J93" s="179">
        <v>1828.79</v>
      </c>
      <c r="K93" s="177" t="d">
        <v>2021-08-30T04:38:59.99999987427145575</v>
      </c>
      <c r="L93" s="179">
        <v>1817.6</v>
      </c>
      <c r="M93" s="181">
        <f t="shared" si="40"/>
        <v>10.33</v>
      </c>
      <c r="N93" s="182">
        <f t="shared" si="41"/>
        <v>2.31</v>
      </c>
      <c r="O93" s="183">
        <f t="shared" si="42"/>
        <v>0</v>
      </c>
      <c r="P93" s="184">
        <f t="shared" si="43"/>
        <v>2.31</v>
      </c>
      <c r="Q93" s="184">
        <f t="shared" si="44"/>
        <v>0</v>
      </c>
      <c r="R9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9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27457.5</v>
      </c>
      <c r="T9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93" s="186">
        <f ca="1">IF(Tabla33610673489[[#This Row],[Equity]]&lt;Tabla33610673489[[#This Row],[Equity Peak]],(Tabla33610673489[[#This Row],[Equity Peak]]-Tabla33610673489[[#This Row],[Equity]])/Tabla33610673489[[#This Row],[Equity Peak]],"")</f>
        <v>8.8169364881693649E-2</v>
      </c>
      <c r="V93" s="187">
        <f t="shared" si="45"/>
        <v>0</v>
      </c>
      <c r="W93" s="187">
        <f t="shared" si="46"/>
        <v>0</v>
      </c>
      <c r="X93" s="187">
        <f t="shared" si="47"/>
        <v>2.31</v>
      </c>
      <c r="Y93" s="187">
        <f t="shared" si="48"/>
        <v>0</v>
      </c>
      <c r="Z93" s="187">
        <f t="shared" si="49"/>
        <v>0</v>
      </c>
      <c r="AA93" s="183">
        <f t="shared" si="50"/>
        <v>0</v>
      </c>
      <c r="AB93" s="187">
        <f t="shared" si="51"/>
        <v>0</v>
      </c>
      <c r="AC93" s="183">
        <f t="shared" si="52"/>
        <v>0</v>
      </c>
      <c r="AD93" s="188">
        <f t="shared" si="53"/>
        <v>2.4541666666627862</v>
      </c>
      <c r="AE93" s="188">
        <f t="shared" si="54"/>
        <v>2.4541666666627862</v>
      </c>
      <c r="AF93" s="188">
        <f t="shared" si="55"/>
        <v>0</v>
      </c>
      <c r="AG93" s="188">
        <f t="shared" si="56"/>
        <v>0</v>
      </c>
    </row>
    <row r="94" spans="2:33" ht="15" customHeight="1" x14ac:dyDescent="0.15">
      <c r="B94" s="174" t="s">
        <v>19</v>
      </c>
      <c r="C94" s="175" t="s">
        <v>15</v>
      </c>
      <c r="D94" s="176" t="str">
        <f t="shared" si="38"/>
        <v>C</v>
      </c>
      <c r="E94" s="177" t="d">
        <v>2021-08-27T08:00:00.00000020954757600</v>
      </c>
      <c r="F94" s="178" t="s">
        <v>77</v>
      </c>
      <c r="G94" s="179">
        <v>1800.09</v>
      </c>
      <c r="H94" s="179">
        <v>1795.92</v>
      </c>
      <c r="I94" s="180">
        <f t="shared" si="39"/>
        <v>4.1699999999998454</v>
      </c>
      <c r="J94" s="179">
        <v>1820.11</v>
      </c>
      <c r="K94" s="177" t="d">
        <v>2021-08-27T11:23:59.99999987427145575</v>
      </c>
      <c r="L94" s="179">
        <v>1795.92</v>
      </c>
      <c r="M94" s="181">
        <f t="shared" si="40"/>
        <v>-4.17</v>
      </c>
      <c r="N94" s="182">
        <f t="shared" si="41"/>
        <v>-1</v>
      </c>
      <c r="O94" s="183">
        <f t="shared" si="42"/>
        <v>0</v>
      </c>
      <c r="P94" s="184">
        <f t="shared" si="43"/>
        <v>0</v>
      </c>
      <c r="Q94" s="184">
        <f t="shared" si="44"/>
        <v>-1</v>
      </c>
      <c r="R9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9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26880</v>
      </c>
      <c r="T9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94" s="186">
        <f ca="1">IF(Tabla33610673489[[#This Row],[Equity]]&lt;Tabla33610673489[[#This Row],[Equity Peak]],(Tabla33610673489[[#This Row],[Equity Peak]]-Tabla33610673489[[#This Row],[Equity]])/Tabla33610673489[[#This Row],[Equity Peak]],"")</f>
        <v>0.10734744707347448</v>
      </c>
      <c r="V94" s="187">
        <f t="shared" si="45"/>
        <v>0</v>
      </c>
      <c r="W94" s="187">
        <f t="shared" si="46"/>
        <v>0</v>
      </c>
      <c r="X94" s="187">
        <f t="shared" si="47"/>
        <v>-1</v>
      </c>
      <c r="Y94" s="187">
        <f t="shared" si="48"/>
        <v>0</v>
      </c>
      <c r="Z94" s="187">
        <f t="shared" si="49"/>
        <v>0</v>
      </c>
      <c r="AA94" s="183">
        <f t="shared" si="50"/>
        <v>0</v>
      </c>
      <c r="AB94" s="187">
        <f t="shared" si="51"/>
        <v>0</v>
      </c>
      <c r="AC94" s="183">
        <f t="shared" si="52"/>
        <v>0</v>
      </c>
      <c r="AD94" s="188">
        <f t="shared" si="53"/>
        <v>0.14166666666278616</v>
      </c>
      <c r="AE94" s="188">
        <f t="shared" si="54"/>
        <v>0</v>
      </c>
      <c r="AF94" s="188">
        <f t="shared" si="55"/>
        <v>0.14166666666278616</v>
      </c>
      <c r="AG94" s="188">
        <f t="shared" si="56"/>
        <v>0</v>
      </c>
    </row>
    <row r="95" spans="2:33" ht="15" customHeight="1" x14ac:dyDescent="0.15">
      <c r="B95" s="174" t="s">
        <v>19</v>
      </c>
      <c r="C95" s="175" t="s">
        <v>15</v>
      </c>
      <c r="D95" s="176" t="str">
        <f t="shared" si="38"/>
        <v>C</v>
      </c>
      <c r="E95" s="177" t="d">
        <v>2021-08-26T18:14:59.99999979045242400</v>
      </c>
      <c r="F95" s="178" t="s">
        <v>77</v>
      </c>
      <c r="G95" s="179">
        <v>1795.75</v>
      </c>
      <c r="H95" s="179">
        <v>1791.25</v>
      </c>
      <c r="I95" s="180">
        <f t="shared" si="39"/>
        <v>4.5</v>
      </c>
      <c r="J95" s="179">
        <v>1817.37</v>
      </c>
      <c r="K95" s="177" t="d">
        <v>2021-08-26T19:18:00.00000016763806350</v>
      </c>
      <c r="L95" s="179">
        <v>1791.25</v>
      </c>
      <c r="M95" s="181">
        <f t="shared" si="40"/>
        <v>-4.5</v>
      </c>
      <c r="N95" s="182">
        <f t="shared" si="41"/>
        <v>-1</v>
      </c>
      <c r="O95" s="183">
        <f t="shared" si="42"/>
        <v>0</v>
      </c>
      <c r="P95" s="184">
        <f t="shared" si="43"/>
        <v>0</v>
      </c>
      <c r="Q95" s="184">
        <f t="shared" si="44"/>
        <v>-1</v>
      </c>
      <c r="R9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9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27130</v>
      </c>
      <c r="T9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95" s="186">
        <f ca="1">IF(Tabla33610673489[[#This Row],[Equity]]&lt;Tabla33610673489[[#This Row],[Equity Peak]],(Tabla33610673489[[#This Row],[Equity Peak]]-Tabla33610673489[[#This Row],[Equity]])/Tabla33610673489[[#This Row],[Equity Peak]],"")</f>
        <v>9.9045246990452473E-2</v>
      </c>
      <c r="V95" s="187">
        <f t="shared" si="45"/>
        <v>0</v>
      </c>
      <c r="W95" s="187">
        <f t="shared" si="46"/>
        <v>0</v>
      </c>
      <c r="X95" s="187">
        <f t="shared" si="47"/>
        <v>-1</v>
      </c>
      <c r="Y95" s="187">
        <f t="shared" si="48"/>
        <v>0</v>
      </c>
      <c r="Z95" s="187">
        <f t="shared" si="49"/>
        <v>0</v>
      </c>
      <c r="AA95" s="183">
        <f t="shared" si="50"/>
        <v>0</v>
      </c>
      <c r="AB95" s="187">
        <f t="shared" si="51"/>
        <v>0</v>
      </c>
      <c r="AC95" s="183">
        <f t="shared" si="52"/>
        <v>0</v>
      </c>
      <c r="AD95" s="188">
        <f t="shared" si="53"/>
        <v>4.3750000004365575E-2</v>
      </c>
      <c r="AE95" s="188">
        <f t="shared" si="54"/>
        <v>0</v>
      </c>
      <c r="AF95" s="188">
        <f t="shared" si="55"/>
        <v>4.3750000004365575E-2</v>
      </c>
      <c r="AG95" s="188">
        <f t="shared" si="56"/>
        <v>0</v>
      </c>
    </row>
    <row r="96" spans="2:33" ht="15" customHeight="1" x14ac:dyDescent="0.15">
      <c r="B96" s="174" t="s">
        <v>19</v>
      </c>
      <c r="C96" s="175" t="s">
        <v>15</v>
      </c>
      <c r="D96" s="176" t="str">
        <f t="shared" si="38"/>
        <v>C</v>
      </c>
      <c r="E96" s="177" t="d">
        <v>2021-08-23T06:00:00.000</v>
      </c>
      <c r="F96" s="178" t="s">
        <v>77</v>
      </c>
      <c r="G96" s="179">
        <v>1788.08</v>
      </c>
      <c r="H96" s="179">
        <v>1783.57</v>
      </c>
      <c r="I96" s="180">
        <f t="shared" si="39"/>
        <v>4.5099999999999909</v>
      </c>
      <c r="J96" s="179">
        <v>1809.72</v>
      </c>
      <c r="K96" s="177" t="d">
        <v>2021-08-23T17:09:00.00000008381903175</v>
      </c>
      <c r="L96" s="179">
        <v>1800.32</v>
      </c>
      <c r="M96" s="181">
        <f t="shared" si="40"/>
        <v>12.24</v>
      </c>
      <c r="N96" s="182">
        <f t="shared" si="41"/>
        <v>2.71</v>
      </c>
      <c r="O96" s="183">
        <f t="shared" si="42"/>
        <v>0</v>
      </c>
      <c r="P96" s="184">
        <f t="shared" si="43"/>
        <v>2.71</v>
      </c>
      <c r="Q96" s="184">
        <f t="shared" si="44"/>
        <v>0</v>
      </c>
      <c r="R9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9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27380</v>
      </c>
      <c r="T9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96" s="186">
        <f ca="1">IF(Tabla33610673489[[#This Row],[Equity]]&lt;Tabla33610673489[[#This Row],[Equity Peak]],(Tabla33610673489[[#This Row],[Equity Peak]]-Tabla33610673489[[#This Row],[Equity]])/Tabla33610673489[[#This Row],[Equity Peak]],"")</f>
        <v>9.0743046907430472E-2</v>
      </c>
      <c r="V96" s="187">
        <f t="shared" si="45"/>
        <v>0</v>
      </c>
      <c r="W96" s="187">
        <f t="shared" si="46"/>
        <v>0</v>
      </c>
      <c r="X96" s="187">
        <f t="shared" si="47"/>
        <v>2.71</v>
      </c>
      <c r="Y96" s="187">
        <f t="shared" si="48"/>
        <v>0</v>
      </c>
      <c r="Z96" s="187">
        <f t="shared" si="49"/>
        <v>0</v>
      </c>
      <c r="AA96" s="183">
        <f t="shared" si="50"/>
        <v>0</v>
      </c>
      <c r="AB96" s="187">
        <f t="shared" si="51"/>
        <v>0</v>
      </c>
      <c r="AC96" s="183">
        <f t="shared" si="52"/>
        <v>0</v>
      </c>
      <c r="AD96" s="188">
        <f t="shared" si="53"/>
        <v>0.46458333333430346</v>
      </c>
      <c r="AE96" s="188">
        <f t="shared" si="54"/>
        <v>0.46458333333430346</v>
      </c>
      <c r="AF96" s="188">
        <f t="shared" si="55"/>
        <v>0</v>
      </c>
      <c r="AG96" s="188">
        <f t="shared" si="56"/>
        <v>0</v>
      </c>
    </row>
    <row r="97" spans="2:33" ht="15" customHeight="1" x14ac:dyDescent="0.15">
      <c r="B97" s="174" t="s">
        <v>19</v>
      </c>
      <c r="C97" s="175" t="s">
        <v>15</v>
      </c>
      <c r="D97" s="176" t="str">
        <f t="shared" si="38"/>
        <v>C</v>
      </c>
      <c r="E97" s="177" t="d">
        <v>2021-08-20T06:59:59.99999979045242400</v>
      </c>
      <c r="F97" s="178" t="s">
        <v>77</v>
      </c>
      <c r="G97" s="179">
        <v>1785.38</v>
      </c>
      <c r="H97" s="179">
        <v>1780.96</v>
      </c>
      <c r="I97" s="180">
        <f t="shared" si="39"/>
        <v>4.4200000000000728</v>
      </c>
      <c r="J97" s="179">
        <v>1806.61</v>
      </c>
      <c r="K97" s="177" t="d">
        <v>2021-08-20T11:54:00.00000008381903175</v>
      </c>
      <c r="L97" s="179">
        <v>1780.96</v>
      </c>
      <c r="M97" s="181">
        <f t="shared" si="40"/>
        <v>-4.42</v>
      </c>
      <c r="N97" s="182">
        <f t="shared" si="41"/>
        <v>-1</v>
      </c>
      <c r="O97" s="183">
        <f t="shared" si="42"/>
        <v>0</v>
      </c>
      <c r="P97" s="184">
        <f t="shared" si="43"/>
        <v>0</v>
      </c>
      <c r="Q97" s="184">
        <f t="shared" si="44"/>
        <v>-1</v>
      </c>
      <c r="R9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9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26702.5</v>
      </c>
      <c r="T9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97" s="186">
        <f ca="1">IF(Tabla33610673489[[#This Row],[Equity]]&lt;Tabla33610673489[[#This Row],[Equity Peak]],(Tabla33610673489[[#This Row],[Equity Peak]]-Tabla33610673489[[#This Row],[Equity]])/Tabla33610673489[[#This Row],[Equity Peak]],"")</f>
        <v>0.11324200913242009</v>
      </c>
      <c r="V97" s="187">
        <f t="shared" si="45"/>
        <v>0</v>
      </c>
      <c r="W97" s="187">
        <f t="shared" si="46"/>
        <v>0</v>
      </c>
      <c r="X97" s="187">
        <f t="shared" si="47"/>
        <v>-1</v>
      </c>
      <c r="Y97" s="187">
        <f t="shared" si="48"/>
        <v>0</v>
      </c>
      <c r="Z97" s="187">
        <f t="shared" si="49"/>
        <v>0</v>
      </c>
      <c r="AA97" s="183">
        <f t="shared" si="50"/>
        <v>0</v>
      </c>
      <c r="AB97" s="187">
        <f t="shared" si="51"/>
        <v>0</v>
      </c>
      <c r="AC97" s="183">
        <f t="shared" si="52"/>
        <v>0</v>
      </c>
      <c r="AD97" s="188">
        <f t="shared" si="53"/>
        <v>0.20416666667006211</v>
      </c>
      <c r="AE97" s="188">
        <f t="shared" si="54"/>
        <v>0</v>
      </c>
      <c r="AF97" s="188">
        <f t="shared" si="55"/>
        <v>0.20416666667006211</v>
      </c>
      <c r="AG97" s="188">
        <f t="shared" si="56"/>
        <v>0</v>
      </c>
    </row>
    <row r="98" spans="2:33" ht="15" customHeight="1" x14ac:dyDescent="0.15">
      <c r="B98" s="174" t="s">
        <v>19</v>
      </c>
      <c r="C98" s="175" t="s">
        <v>15</v>
      </c>
      <c r="D98" s="176" t="str">
        <f t="shared" si="38"/>
        <v>C</v>
      </c>
      <c r="E98" s="177" t="d">
        <v>2021-08-19T16:15:00.00000020954757600</v>
      </c>
      <c r="F98" s="178" t="s">
        <v>77</v>
      </c>
      <c r="G98" s="179">
        <v>1790.94</v>
      </c>
      <c r="H98" s="179">
        <v>1786.38</v>
      </c>
      <c r="I98" s="180">
        <f t="shared" si="39"/>
        <v>4.5599999999999454</v>
      </c>
      <c r="J98" s="179">
        <v>1812.83</v>
      </c>
      <c r="K98" s="177" t="d">
        <v>2021-08-19T16:34:00.00000015366822150</v>
      </c>
      <c r="L98" s="179">
        <v>1786.38</v>
      </c>
      <c r="M98" s="181">
        <f t="shared" si="40"/>
        <v>-4.5599999999999996</v>
      </c>
      <c r="N98" s="182">
        <f t="shared" si="41"/>
        <v>-1</v>
      </c>
      <c r="O98" s="183">
        <f t="shared" si="42"/>
        <v>0</v>
      </c>
      <c r="P98" s="184">
        <f t="shared" si="43"/>
        <v>0</v>
      </c>
      <c r="Q98" s="184">
        <f t="shared" si="44"/>
        <v>-1</v>
      </c>
      <c r="R9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9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26952.5</v>
      </c>
      <c r="T9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98" s="186">
        <f ca="1">IF(Tabla33610673489[[#This Row],[Equity]]&lt;Tabla33610673489[[#This Row],[Equity Peak]],(Tabla33610673489[[#This Row],[Equity Peak]]-Tabla33610673489[[#This Row],[Equity]])/Tabla33610673489[[#This Row],[Equity Peak]],"")</f>
        <v>0.10493980904939809</v>
      </c>
      <c r="V98" s="187">
        <f t="shared" si="45"/>
        <v>0</v>
      </c>
      <c r="W98" s="187">
        <f t="shared" si="46"/>
        <v>0</v>
      </c>
      <c r="X98" s="187">
        <f t="shared" si="47"/>
        <v>-1</v>
      </c>
      <c r="Y98" s="187">
        <f t="shared" si="48"/>
        <v>0</v>
      </c>
      <c r="Z98" s="187">
        <f t="shared" si="49"/>
        <v>0</v>
      </c>
      <c r="AA98" s="183">
        <f t="shared" si="50"/>
        <v>0</v>
      </c>
      <c r="AB98" s="187">
        <f t="shared" si="51"/>
        <v>0</v>
      </c>
      <c r="AC98" s="183">
        <f t="shared" si="52"/>
        <v>0</v>
      </c>
      <c r="AD98" s="188">
        <f t="shared" si="53"/>
        <v>1.3194444443797693E-2</v>
      </c>
      <c r="AE98" s="188">
        <f t="shared" si="54"/>
        <v>0</v>
      </c>
      <c r="AF98" s="188">
        <f t="shared" si="55"/>
        <v>1.3194444443797693E-2</v>
      </c>
      <c r="AG98" s="188">
        <f t="shared" si="56"/>
        <v>0</v>
      </c>
    </row>
    <row r="99" spans="2:33" ht="15" customHeight="1" x14ac:dyDescent="0.15">
      <c r="B99" s="174" t="s">
        <v>19</v>
      </c>
      <c r="C99" s="175" t="s">
        <v>15</v>
      </c>
      <c r="D99" s="176" t="str">
        <f t="shared" si="38"/>
        <v>C</v>
      </c>
      <c r="E99" s="177" t="d">
        <v>2021-08-19T12:30:00.00000020954757600</v>
      </c>
      <c r="F99" s="178" t="s">
        <v>77</v>
      </c>
      <c r="G99" s="179">
        <v>1789.63</v>
      </c>
      <c r="H99" s="179">
        <v>1785.16</v>
      </c>
      <c r="I99" s="180">
        <f t="shared" si="39"/>
        <v>4.4700000000000273</v>
      </c>
      <c r="J99" s="179">
        <v>1811.08</v>
      </c>
      <c r="K99" s="177" t="d">
        <v>2021-08-19T15:08:59.99999987427145575</v>
      </c>
      <c r="L99" s="179">
        <v>1785.16</v>
      </c>
      <c r="M99" s="181">
        <f t="shared" si="40"/>
        <v>-4.47</v>
      </c>
      <c r="N99" s="182">
        <f t="shared" si="41"/>
        <v>-1</v>
      </c>
      <c r="O99" s="183">
        <f t="shared" si="42"/>
        <v>0</v>
      </c>
      <c r="P99" s="184">
        <f t="shared" si="43"/>
        <v>0</v>
      </c>
      <c r="Q99" s="184">
        <f t="shared" si="44"/>
        <v>-1</v>
      </c>
      <c r="R9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9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27202.5</v>
      </c>
      <c r="T9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99" s="186">
        <f ca="1">IF(Tabla33610673489[[#This Row],[Equity]]&lt;Tabla33610673489[[#This Row],[Equity Peak]],(Tabla33610673489[[#This Row],[Equity Peak]]-Tabla33610673489[[#This Row],[Equity]])/Tabla33610673489[[#This Row],[Equity Peak]],"")</f>
        <v>9.663760896637609E-2</v>
      </c>
      <c r="V99" s="187">
        <f t="shared" si="45"/>
        <v>0</v>
      </c>
      <c r="W99" s="187">
        <f t="shared" si="46"/>
        <v>0</v>
      </c>
      <c r="X99" s="187">
        <f t="shared" si="47"/>
        <v>-1</v>
      </c>
      <c r="Y99" s="187">
        <f t="shared" si="48"/>
        <v>0</v>
      </c>
      <c r="Z99" s="187">
        <f t="shared" si="49"/>
        <v>0</v>
      </c>
      <c r="AA99" s="183">
        <f t="shared" si="50"/>
        <v>0</v>
      </c>
      <c r="AB99" s="187">
        <f t="shared" si="51"/>
        <v>0</v>
      </c>
      <c r="AC99" s="183">
        <f t="shared" si="52"/>
        <v>0</v>
      </c>
      <c r="AD99" s="188">
        <f t="shared" si="53"/>
        <v>0.11041666666278616</v>
      </c>
      <c r="AE99" s="188">
        <f t="shared" si="54"/>
        <v>0</v>
      </c>
      <c r="AF99" s="188">
        <f t="shared" si="55"/>
        <v>0.11041666666278616</v>
      </c>
      <c r="AG99" s="188">
        <f t="shared" si="56"/>
        <v>0</v>
      </c>
    </row>
    <row r="100" spans="2:33" ht="15" customHeight="1" x14ac:dyDescent="0.15">
      <c r="B100" s="174" t="s">
        <v>19</v>
      </c>
      <c r="C100" s="175" t="s">
        <v>15</v>
      </c>
      <c r="D100" s="176" t="str">
        <f t="shared" si="38"/>
        <v>C</v>
      </c>
      <c r="E100" s="177" t="d">
        <v>2021-08-11T06:14:59.99999979045242400</v>
      </c>
      <c r="F100" s="178" t="s">
        <v>77</v>
      </c>
      <c r="G100" s="179">
        <v>1734.43</v>
      </c>
      <c r="H100" s="179">
        <v>1728.37</v>
      </c>
      <c r="I100" s="180">
        <f t="shared" si="39"/>
        <v>6.0600000000001728</v>
      </c>
      <c r="J100" s="179">
        <v>1763.51</v>
      </c>
      <c r="K100" s="177" t="d">
        <v>2021-08-12T14:09:00.00000008381903175</v>
      </c>
      <c r="L100" s="179">
        <v>1750.48</v>
      </c>
      <c r="M100" s="181">
        <f t="shared" si="40"/>
        <v>16.05</v>
      </c>
      <c r="N100" s="182">
        <f t="shared" si="41"/>
        <v>2.65</v>
      </c>
      <c r="O100" s="183">
        <f t="shared" si="42"/>
        <v>0</v>
      </c>
      <c r="P100" s="184">
        <f t="shared" si="43"/>
        <v>2.65</v>
      </c>
      <c r="Q100" s="184">
        <f t="shared" si="44"/>
        <v>0</v>
      </c>
      <c r="R10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0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27452.5</v>
      </c>
      <c r="T10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00" s="186">
        <f ca="1">IF(Tabla33610673489[[#This Row],[Equity]]&lt;Tabla33610673489[[#This Row],[Equity Peak]],(Tabla33610673489[[#This Row],[Equity Peak]]-Tabla33610673489[[#This Row],[Equity]])/Tabla33610673489[[#This Row],[Equity Peak]],"")</f>
        <v>8.8335408883354088E-2</v>
      </c>
      <c r="V100" s="187">
        <f t="shared" si="45"/>
        <v>0</v>
      </c>
      <c r="W100" s="187">
        <f t="shared" si="46"/>
        <v>0</v>
      </c>
      <c r="X100" s="187">
        <f t="shared" si="47"/>
        <v>2.65</v>
      </c>
      <c r="Y100" s="187">
        <f t="shared" si="48"/>
        <v>0</v>
      </c>
      <c r="Z100" s="187">
        <f t="shared" si="49"/>
        <v>0</v>
      </c>
      <c r="AA100" s="183">
        <f t="shared" si="50"/>
        <v>0</v>
      </c>
      <c r="AB100" s="187">
        <f t="shared" si="51"/>
        <v>0</v>
      </c>
      <c r="AC100" s="183">
        <f t="shared" si="52"/>
        <v>0</v>
      </c>
      <c r="AD100" s="188">
        <f t="shared" si="53"/>
        <v>1.3291666666700621</v>
      </c>
      <c r="AE100" s="188">
        <f t="shared" si="54"/>
        <v>1.3291666666700621</v>
      </c>
      <c r="AF100" s="188">
        <f t="shared" si="55"/>
        <v>0</v>
      </c>
      <c r="AG100" s="188">
        <f t="shared" si="56"/>
        <v>0</v>
      </c>
    </row>
    <row r="101" spans="2:33" ht="15" customHeight="1" x14ac:dyDescent="0.15">
      <c r="B101" s="174" t="s">
        <v>19</v>
      </c>
      <c r="C101" s="175" t="s">
        <v>15</v>
      </c>
      <c r="D101" s="176" t="str">
        <f t="shared" si="38"/>
        <v>C</v>
      </c>
      <c r="E101" s="177" t="d">
        <v>2021-08-05T11:00:00.00000020954757600</v>
      </c>
      <c r="F101" s="178" t="s">
        <v>77</v>
      </c>
      <c r="G101" s="179">
        <v>1813.83</v>
      </c>
      <c r="H101" s="179">
        <v>1809.81</v>
      </c>
      <c r="I101" s="180">
        <f t="shared" si="39"/>
        <v>4.0199999999999818</v>
      </c>
      <c r="J101" s="179">
        <v>1833.11</v>
      </c>
      <c r="K101" s="177" t="d">
        <v>2021-08-05T11:23:59.99999987427145575</v>
      </c>
      <c r="L101" s="179">
        <v>1809.81</v>
      </c>
      <c r="M101" s="181">
        <f t="shared" si="40"/>
        <v>-4.0199999999999996</v>
      </c>
      <c r="N101" s="182">
        <f t="shared" si="41"/>
        <v>-1</v>
      </c>
      <c r="O101" s="183">
        <f t="shared" si="42"/>
        <v>0</v>
      </c>
      <c r="P101" s="184">
        <f t="shared" si="43"/>
        <v>0</v>
      </c>
      <c r="Q101" s="184">
        <f t="shared" si="44"/>
        <v>-1</v>
      </c>
      <c r="R10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0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26790</v>
      </c>
      <c r="T10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01" s="186">
        <f ca="1">IF(Tabla33610673489[[#This Row],[Equity]]&lt;Tabla33610673489[[#This Row],[Equity Peak]],(Tabla33610673489[[#This Row],[Equity Peak]]-Tabla33610673489[[#This Row],[Equity]])/Tabla33610673489[[#This Row],[Equity Peak]],"")</f>
        <v>0.11033623910336239</v>
      </c>
      <c r="V101" s="187">
        <f t="shared" si="45"/>
        <v>0</v>
      </c>
      <c r="W101" s="187">
        <f t="shared" si="46"/>
        <v>0</v>
      </c>
      <c r="X101" s="187">
        <f t="shared" si="47"/>
        <v>-1</v>
      </c>
      <c r="Y101" s="187">
        <f t="shared" si="48"/>
        <v>0</v>
      </c>
      <c r="Z101" s="187">
        <f t="shared" si="49"/>
        <v>0</v>
      </c>
      <c r="AA101" s="183">
        <f t="shared" si="50"/>
        <v>0</v>
      </c>
      <c r="AB101" s="187">
        <f t="shared" si="51"/>
        <v>0</v>
      </c>
      <c r="AC101" s="183">
        <f t="shared" si="52"/>
        <v>0</v>
      </c>
      <c r="AD101" s="188">
        <f t="shared" si="53"/>
        <v>1.6666666662786156E-2</v>
      </c>
      <c r="AE101" s="188">
        <f t="shared" si="54"/>
        <v>0</v>
      </c>
      <c r="AF101" s="188">
        <f t="shared" si="55"/>
        <v>1.6666666662786156E-2</v>
      </c>
      <c r="AG101" s="188">
        <f t="shared" si="56"/>
        <v>0</v>
      </c>
    </row>
    <row r="102" spans="2:33" ht="15" customHeight="1" x14ac:dyDescent="0.15">
      <c r="B102" s="174" t="s">
        <v>19</v>
      </c>
      <c r="C102" s="175" t="s">
        <v>15</v>
      </c>
      <c r="D102" s="176" t="str">
        <f t="shared" si="38"/>
        <v>C</v>
      </c>
      <c r="E102" s="177" t="d">
        <v>2021-08-04T14:29:59.99999979045242400</v>
      </c>
      <c r="F102" s="178" t="s">
        <v>77</v>
      </c>
      <c r="G102" s="179">
        <v>1816.34</v>
      </c>
      <c r="H102" s="179">
        <v>1812.26</v>
      </c>
      <c r="I102" s="180">
        <f t="shared" si="39"/>
        <v>4.0799999999999272</v>
      </c>
      <c r="J102" s="179">
        <v>1835.91</v>
      </c>
      <c r="K102" s="177" t="d">
        <v>2021-08-04T17:03:59.999999734573066125</v>
      </c>
      <c r="L102" s="179">
        <v>1826.34</v>
      </c>
      <c r="M102" s="181">
        <f t="shared" si="40"/>
        <v>10</v>
      </c>
      <c r="N102" s="182">
        <f t="shared" si="41"/>
        <v>2.4500000000000002</v>
      </c>
      <c r="O102" s="183">
        <f t="shared" si="42"/>
        <v>0</v>
      </c>
      <c r="P102" s="184">
        <f t="shared" si="43"/>
        <v>2.4500000000000002</v>
      </c>
      <c r="Q102" s="184">
        <f t="shared" si="44"/>
        <v>0</v>
      </c>
      <c r="R10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0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27040</v>
      </c>
      <c r="T10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02" s="186">
        <f ca="1">IF(Tabla33610673489[[#This Row],[Equity]]&lt;Tabla33610673489[[#This Row],[Equity Peak]],(Tabla33610673489[[#This Row],[Equity Peak]]-Tabla33610673489[[#This Row],[Equity]])/Tabla33610673489[[#This Row],[Equity Peak]],"")</f>
        <v>0.10203403902034039</v>
      </c>
      <c r="V102" s="187">
        <f t="shared" si="45"/>
        <v>0</v>
      </c>
      <c r="W102" s="187">
        <f t="shared" si="46"/>
        <v>0</v>
      </c>
      <c r="X102" s="187">
        <f t="shared" si="47"/>
        <v>2.4500000000000002</v>
      </c>
      <c r="Y102" s="187">
        <f t="shared" si="48"/>
        <v>0</v>
      </c>
      <c r="Z102" s="187">
        <f t="shared" si="49"/>
        <v>0</v>
      </c>
      <c r="AA102" s="183">
        <f t="shared" si="50"/>
        <v>0</v>
      </c>
      <c r="AB102" s="187">
        <f t="shared" si="51"/>
        <v>0</v>
      </c>
      <c r="AC102" s="183">
        <f t="shared" si="52"/>
        <v>0</v>
      </c>
      <c r="AD102" s="188">
        <f t="shared" si="53"/>
        <v>0.10694444444379769</v>
      </c>
      <c r="AE102" s="188">
        <f t="shared" si="54"/>
        <v>0.10694444444379769</v>
      </c>
      <c r="AF102" s="188">
        <f t="shared" si="55"/>
        <v>0</v>
      </c>
      <c r="AG102" s="188">
        <f t="shared" si="56"/>
        <v>0</v>
      </c>
    </row>
    <row r="103" spans="2:33" ht="15" customHeight="1" x14ac:dyDescent="0.15">
      <c r="B103" s="174" t="s">
        <v>19</v>
      </c>
      <c r="C103" s="175" t="s">
        <v>15</v>
      </c>
      <c r="D103" s="176" t="str">
        <f t="shared" si="38"/>
        <v>C</v>
      </c>
      <c r="E103" s="177" t="d">
        <v>2021-08-03T17:00:00.00000020954757600</v>
      </c>
      <c r="F103" s="178" t="s">
        <v>77</v>
      </c>
      <c r="G103" s="179">
        <v>1813.8</v>
      </c>
      <c r="H103" s="179">
        <v>1809.48</v>
      </c>
      <c r="I103" s="180">
        <f t="shared" si="39"/>
        <v>4.3199999999999363</v>
      </c>
      <c r="J103" s="179">
        <v>1834.52</v>
      </c>
      <c r="K103" s="177" t="d">
        <v>2021-08-03T17:39:00.00000029336660775</v>
      </c>
      <c r="L103" s="179">
        <v>1809.48</v>
      </c>
      <c r="M103" s="181">
        <f t="shared" si="40"/>
        <v>-4.32</v>
      </c>
      <c r="N103" s="182">
        <f t="shared" si="41"/>
        <v>-1</v>
      </c>
      <c r="O103" s="183">
        <f t="shared" si="42"/>
        <v>0</v>
      </c>
      <c r="P103" s="184">
        <f t="shared" si="43"/>
        <v>0</v>
      </c>
      <c r="Q103" s="184">
        <f t="shared" si="44"/>
        <v>-1</v>
      </c>
      <c r="R10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0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26427.5</v>
      </c>
      <c r="T10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03" s="186">
        <f ca="1">IF(Tabla33610673489[[#This Row],[Equity]]&lt;Tabla33610673489[[#This Row],[Equity Peak]],(Tabla33610673489[[#This Row],[Equity Peak]]-Tabla33610673489[[#This Row],[Equity]])/Tabla33610673489[[#This Row],[Equity Peak]],"")</f>
        <v>0.12237442922374429</v>
      </c>
      <c r="V103" s="187">
        <f t="shared" si="45"/>
        <v>0</v>
      </c>
      <c r="W103" s="187">
        <f t="shared" si="46"/>
        <v>0</v>
      </c>
      <c r="X103" s="187">
        <f t="shared" si="47"/>
        <v>-1</v>
      </c>
      <c r="Y103" s="187">
        <f t="shared" si="48"/>
        <v>0</v>
      </c>
      <c r="Z103" s="187">
        <f t="shared" si="49"/>
        <v>0</v>
      </c>
      <c r="AA103" s="183">
        <f t="shared" si="50"/>
        <v>0</v>
      </c>
      <c r="AB103" s="187">
        <f t="shared" si="51"/>
        <v>0</v>
      </c>
      <c r="AC103" s="183">
        <f t="shared" si="52"/>
        <v>0</v>
      </c>
      <c r="AD103" s="188">
        <f t="shared" si="53"/>
        <v>2.7083333334303461E-2</v>
      </c>
      <c r="AE103" s="188">
        <f t="shared" si="54"/>
        <v>0</v>
      </c>
      <c r="AF103" s="188">
        <f t="shared" si="55"/>
        <v>2.7083333334303461E-2</v>
      </c>
      <c r="AG103" s="188">
        <f t="shared" si="56"/>
        <v>0</v>
      </c>
    </row>
    <row r="104" spans="2:33" ht="15" customHeight="1" x14ac:dyDescent="0.15">
      <c r="B104" s="174" t="s">
        <v>19</v>
      </c>
      <c r="C104" s="175" t="s">
        <v>15</v>
      </c>
      <c r="D104" s="176" t="str">
        <f t="shared" si="38"/>
        <v>C</v>
      </c>
      <c r="E104" s="177" t="d">
        <v>2021-08-02T19:44:59.99999979045242400</v>
      </c>
      <c r="F104" s="178" t="s">
        <v>77</v>
      </c>
      <c r="G104" s="179">
        <v>1817.8</v>
      </c>
      <c r="H104" s="179">
        <v>1813.45</v>
      </c>
      <c r="I104" s="180">
        <f t="shared" si="39"/>
        <v>4.3499999999999091</v>
      </c>
      <c r="J104" s="179">
        <v>1838.7</v>
      </c>
      <c r="K104" s="177" t="d">
        <v>2021-08-02T22:35:59.99999991618096825</v>
      </c>
      <c r="L104" s="179">
        <v>1813.45</v>
      </c>
      <c r="M104" s="181">
        <f t="shared" si="40"/>
        <v>-4.3499999999999996</v>
      </c>
      <c r="N104" s="182">
        <f t="shared" si="41"/>
        <v>-1</v>
      </c>
      <c r="O104" s="183">
        <f t="shared" si="42"/>
        <v>0</v>
      </c>
      <c r="P104" s="184">
        <f t="shared" si="43"/>
        <v>0</v>
      </c>
      <c r="Q104" s="184">
        <f t="shared" si="44"/>
        <v>-1</v>
      </c>
      <c r="R10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0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26677.5</v>
      </c>
      <c r="T10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04" s="186">
        <f ca="1">IF(Tabla33610673489[[#This Row],[Equity]]&lt;Tabla33610673489[[#This Row],[Equity Peak]],(Tabla33610673489[[#This Row],[Equity Peak]]-Tabla33610673489[[#This Row],[Equity]])/Tabla33610673489[[#This Row],[Equity Peak]],"")</f>
        <v>0.11407222914072229</v>
      </c>
      <c r="V104" s="187">
        <f t="shared" si="45"/>
        <v>0</v>
      </c>
      <c r="W104" s="187">
        <f t="shared" si="46"/>
        <v>0</v>
      </c>
      <c r="X104" s="187">
        <f t="shared" si="47"/>
        <v>-1</v>
      </c>
      <c r="Y104" s="187">
        <f t="shared" si="48"/>
        <v>0</v>
      </c>
      <c r="Z104" s="187">
        <f t="shared" si="49"/>
        <v>0</v>
      </c>
      <c r="AA104" s="183">
        <f t="shared" si="50"/>
        <v>0</v>
      </c>
      <c r="AB104" s="187">
        <f t="shared" si="51"/>
        <v>0</v>
      </c>
      <c r="AC104" s="183">
        <f t="shared" si="52"/>
        <v>0</v>
      </c>
      <c r="AD104" s="188">
        <f t="shared" si="53"/>
        <v>0.11875000000145519</v>
      </c>
      <c r="AE104" s="188">
        <f t="shared" si="54"/>
        <v>0</v>
      </c>
      <c r="AF104" s="188">
        <f t="shared" si="55"/>
        <v>0.11875000000145519</v>
      </c>
      <c r="AG104" s="188">
        <f t="shared" si="56"/>
        <v>0</v>
      </c>
    </row>
    <row r="105" spans="2:33" ht="15" customHeight="1" x14ac:dyDescent="0.15">
      <c r="B105" s="174" t="s">
        <v>19</v>
      </c>
      <c r="C105" s="175" t="s">
        <v>15</v>
      </c>
      <c r="D105" s="176" t="str">
        <f t="shared" si="38"/>
        <v>C</v>
      </c>
      <c r="E105" s="177" t="d">
        <v>2021-07-28T22:44:59.99999979045242400</v>
      </c>
      <c r="F105" s="178" t="s">
        <v>77</v>
      </c>
      <c r="G105" s="179">
        <v>1807.41</v>
      </c>
      <c r="H105" s="179">
        <v>1802.94</v>
      </c>
      <c r="I105" s="180">
        <f t="shared" si="39"/>
        <v>4.4700000000000273</v>
      </c>
      <c r="J105" s="179">
        <v>1828.87</v>
      </c>
      <c r="K105" s="177" t="d">
        <v>2021-07-29T18:08:59.99999987427145575</v>
      </c>
      <c r="L105" s="179">
        <v>1828.87</v>
      </c>
      <c r="M105" s="181">
        <f t="shared" si="40"/>
        <v>21.46</v>
      </c>
      <c r="N105" s="182">
        <f t="shared" si="41"/>
        <v>4.8</v>
      </c>
      <c r="O105" s="183">
        <f t="shared" si="42"/>
        <v>0</v>
      </c>
      <c r="P105" s="184">
        <f t="shared" si="43"/>
        <v>4.8</v>
      </c>
      <c r="Q105" s="184">
        <f t="shared" si="44"/>
        <v>0</v>
      </c>
      <c r="R10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0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26927.5</v>
      </c>
      <c r="T10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05" s="186">
        <f ca="1">IF(Tabla33610673489[[#This Row],[Equity]]&lt;Tabla33610673489[[#This Row],[Equity Peak]],(Tabla33610673489[[#This Row],[Equity Peak]]-Tabla33610673489[[#This Row],[Equity]])/Tabla33610673489[[#This Row],[Equity Peak]],"")</f>
        <v>0.10577002905770029</v>
      </c>
      <c r="V105" s="187">
        <f t="shared" si="45"/>
        <v>0</v>
      </c>
      <c r="W105" s="187">
        <f t="shared" si="46"/>
        <v>0</v>
      </c>
      <c r="X105" s="187">
        <f t="shared" si="47"/>
        <v>4.8</v>
      </c>
      <c r="Y105" s="187">
        <f t="shared" si="48"/>
        <v>0</v>
      </c>
      <c r="Z105" s="187">
        <f t="shared" si="49"/>
        <v>0</v>
      </c>
      <c r="AA105" s="183">
        <f t="shared" si="50"/>
        <v>0</v>
      </c>
      <c r="AB105" s="187">
        <f t="shared" si="51"/>
        <v>0</v>
      </c>
      <c r="AC105" s="183">
        <f t="shared" si="52"/>
        <v>0</v>
      </c>
      <c r="AD105" s="188">
        <f t="shared" si="53"/>
        <v>0.80833333333430346</v>
      </c>
      <c r="AE105" s="188">
        <f t="shared" si="54"/>
        <v>0.80833333333430346</v>
      </c>
      <c r="AF105" s="188">
        <f t="shared" si="55"/>
        <v>0</v>
      </c>
      <c r="AG105" s="188">
        <f t="shared" si="56"/>
        <v>0</v>
      </c>
    </row>
    <row r="106" spans="2:33" ht="15" customHeight="1" x14ac:dyDescent="0.15">
      <c r="B106" s="174" t="s">
        <v>19</v>
      </c>
      <c r="C106" s="175" t="s">
        <v>15</v>
      </c>
      <c r="D106" s="176" t="str">
        <f t="shared" si="38"/>
        <v>C</v>
      </c>
      <c r="E106" s="177" t="d">
        <v>2021-07-28T06:14:59.99999979045242400</v>
      </c>
      <c r="F106" s="178" t="s">
        <v>77</v>
      </c>
      <c r="G106" s="179">
        <v>1806.97</v>
      </c>
      <c r="H106" s="179">
        <v>1802.62</v>
      </c>
      <c r="I106" s="180">
        <f t="shared" si="39"/>
        <v>4.3500000000001364</v>
      </c>
      <c r="J106" s="179">
        <v>1827.84</v>
      </c>
      <c r="K106" s="177" t="d">
        <v>2021-07-28T10:54:00.00000029336660775</v>
      </c>
      <c r="L106" s="179">
        <v>1802.62</v>
      </c>
      <c r="M106" s="181">
        <f t="shared" si="40"/>
        <v>-4.3499999999999996</v>
      </c>
      <c r="N106" s="182">
        <f t="shared" si="41"/>
        <v>-1</v>
      </c>
      <c r="O106" s="183">
        <f t="shared" si="42"/>
        <v>0</v>
      </c>
      <c r="P106" s="184">
        <f t="shared" si="43"/>
        <v>0</v>
      </c>
      <c r="Q106" s="184">
        <f t="shared" si="44"/>
        <v>-1</v>
      </c>
      <c r="R10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0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25727.5</v>
      </c>
      <c r="T10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06" s="186">
        <f ca="1">IF(Tabla33610673489[[#This Row],[Equity]]&lt;Tabla33610673489[[#This Row],[Equity Peak]],(Tabla33610673489[[#This Row],[Equity Peak]]-Tabla33610673489[[#This Row],[Equity]])/Tabla33610673489[[#This Row],[Equity Peak]],"")</f>
        <v>0.1456205894562059</v>
      </c>
      <c r="V106" s="187">
        <f t="shared" si="45"/>
        <v>0</v>
      </c>
      <c r="W106" s="187">
        <f t="shared" si="46"/>
        <v>0</v>
      </c>
      <c r="X106" s="187">
        <f t="shared" si="47"/>
        <v>-1</v>
      </c>
      <c r="Y106" s="187">
        <f t="shared" si="48"/>
        <v>0</v>
      </c>
      <c r="Z106" s="187">
        <f t="shared" si="49"/>
        <v>0</v>
      </c>
      <c r="AA106" s="183">
        <f t="shared" si="50"/>
        <v>0</v>
      </c>
      <c r="AB106" s="187">
        <f t="shared" si="51"/>
        <v>0</v>
      </c>
      <c r="AC106" s="183">
        <f t="shared" si="52"/>
        <v>0</v>
      </c>
      <c r="AD106" s="188">
        <f t="shared" si="53"/>
        <v>0.19375000000582077</v>
      </c>
      <c r="AE106" s="188">
        <f t="shared" si="54"/>
        <v>0</v>
      </c>
      <c r="AF106" s="188">
        <f t="shared" si="55"/>
        <v>0.19375000000582077</v>
      </c>
      <c r="AG106" s="188">
        <f t="shared" si="56"/>
        <v>0</v>
      </c>
    </row>
    <row r="107" spans="2:33" ht="15" customHeight="1" x14ac:dyDescent="0.15">
      <c r="B107" s="174" t="s">
        <v>19</v>
      </c>
      <c r="C107" s="175" t="s">
        <v>15</v>
      </c>
      <c r="D107" s="176" t="str">
        <f t="shared" si="38"/>
        <v>C</v>
      </c>
      <c r="E107" s="177" t="d">
        <v>2021-07-27T15:14:59.99999979045242400</v>
      </c>
      <c r="F107" s="178" t="s">
        <v>77</v>
      </c>
      <c r="G107" s="179">
        <v>1802.83</v>
      </c>
      <c r="H107" s="179">
        <v>1798.27</v>
      </c>
      <c r="I107" s="180">
        <f t="shared" si="39"/>
        <v>4.5599999999999454</v>
      </c>
      <c r="J107" s="179">
        <v>1824.72</v>
      </c>
      <c r="K107" s="177" t="d">
        <v>2021-07-27T17:23:59.99999987427145575</v>
      </c>
      <c r="L107" s="179">
        <v>1798.27</v>
      </c>
      <c r="M107" s="181">
        <f t="shared" si="40"/>
        <v>-4.5599999999999996</v>
      </c>
      <c r="N107" s="182">
        <f t="shared" si="41"/>
        <v>-1</v>
      </c>
      <c r="O107" s="183">
        <f t="shared" si="42"/>
        <v>0</v>
      </c>
      <c r="P107" s="184">
        <f t="shared" si="43"/>
        <v>0</v>
      </c>
      <c r="Q107" s="184">
        <f t="shared" si="44"/>
        <v>-1</v>
      </c>
      <c r="R10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0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25977.5</v>
      </c>
      <c r="T10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07" s="186">
        <f ca="1">IF(Tabla33610673489[[#This Row],[Equity]]&lt;Tabla33610673489[[#This Row],[Equity Peak]],(Tabla33610673489[[#This Row],[Equity Peak]]-Tabla33610673489[[#This Row],[Equity]])/Tabla33610673489[[#This Row],[Equity Peak]],"")</f>
        <v>0.13731838937318389</v>
      </c>
      <c r="V107" s="187">
        <f t="shared" si="45"/>
        <v>0</v>
      </c>
      <c r="W107" s="187">
        <f t="shared" si="46"/>
        <v>0</v>
      </c>
      <c r="X107" s="187">
        <f t="shared" si="47"/>
        <v>-1</v>
      </c>
      <c r="Y107" s="187">
        <f t="shared" si="48"/>
        <v>0</v>
      </c>
      <c r="Z107" s="187">
        <f t="shared" si="49"/>
        <v>0</v>
      </c>
      <c r="AA107" s="183">
        <f t="shared" si="50"/>
        <v>0</v>
      </c>
      <c r="AB107" s="187">
        <f t="shared" si="51"/>
        <v>0</v>
      </c>
      <c r="AC107" s="183">
        <f t="shared" si="52"/>
        <v>0</v>
      </c>
      <c r="AD107" s="188">
        <f t="shared" si="53"/>
        <v>8.9583333334303461E-2</v>
      </c>
      <c r="AE107" s="188">
        <f t="shared" si="54"/>
        <v>0</v>
      </c>
      <c r="AF107" s="188">
        <f t="shared" si="55"/>
        <v>8.9583333334303461E-2</v>
      </c>
      <c r="AG107" s="188">
        <f t="shared" si="56"/>
        <v>0</v>
      </c>
    </row>
    <row r="108" spans="2:33" ht="15" customHeight="1" x14ac:dyDescent="0.15">
      <c r="B108" s="174" t="s">
        <v>19</v>
      </c>
      <c r="C108" s="175" t="s">
        <v>15</v>
      </c>
      <c r="D108" s="176" t="str">
        <f t="shared" si="38"/>
        <v>C</v>
      </c>
      <c r="E108" s="177" t="d">
        <v>2021-07-27T10:44:59.99999979045242400</v>
      </c>
      <c r="F108" s="178" t="s">
        <v>77</v>
      </c>
      <c r="G108" s="179">
        <v>1800.09</v>
      </c>
      <c r="H108" s="179">
        <v>1795.58</v>
      </c>
      <c r="I108" s="180">
        <f t="shared" si="39"/>
        <v>4.5099999999999909</v>
      </c>
      <c r="J108" s="179">
        <v>1821.72</v>
      </c>
      <c r="K108" s="177" t="d">
        <v>2021-07-27T11:09:00.00000008381903175</v>
      </c>
      <c r="L108" s="179">
        <v>1795.58</v>
      </c>
      <c r="M108" s="181">
        <f t="shared" si="40"/>
        <v>-4.51</v>
      </c>
      <c r="N108" s="182">
        <f t="shared" si="41"/>
        <v>-1</v>
      </c>
      <c r="O108" s="183">
        <f t="shared" si="42"/>
        <v>0</v>
      </c>
      <c r="P108" s="184">
        <f t="shared" si="43"/>
        <v>0</v>
      </c>
      <c r="Q108" s="184">
        <f t="shared" si="44"/>
        <v>-1</v>
      </c>
      <c r="R10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0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26227.5</v>
      </c>
      <c r="T10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08" s="186">
        <f ca="1">IF(Tabla33610673489[[#This Row],[Equity]]&lt;Tabla33610673489[[#This Row],[Equity Peak]],(Tabla33610673489[[#This Row],[Equity Peak]]-Tabla33610673489[[#This Row],[Equity]])/Tabla33610673489[[#This Row],[Equity Peak]],"")</f>
        <v>0.1290161892901619</v>
      </c>
      <c r="V108" s="187">
        <f t="shared" si="45"/>
        <v>0</v>
      </c>
      <c r="W108" s="187">
        <f t="shared" si="46"/>
        <v>0</v>
      </c>
      <c r="X108" s="187">
        <f t="shared" si="47"/>
        <v>-1</v>
      </c>
      <c r="Y108" s="187">
        <f t="shared" si="48"/>
        <v>0</v>
      </c>
      <c r="Z108" s="187">
        <f t="shared" si="49"/>
        <v>0</v>
      </c>
      <c r="AA108" s="183">
        <f t="shared" si="50"/>
        <v>0</v>
      </c>
      <c r="AB108" s="187">
        <f t="shared" si="51"/>
        <v>0</v>
      </c>
      <c r="AC108" s="183">
        <f t="shared" si="52"/>
        <v>0</v>
      </c>
      <c r="AD108" s="188">
        <f t="shared" si="53"/>
        <v>1.6666666670062114E-2</v>
      </c>
      <c r="AE108" s="188">
        <f t="shared" si="54"/>
        <v>0</v>
      </c>
      <c r="AF108" s="188">
        <f t="shared" si="55"/>
        <v>1.6666666670062114E-2</v>
      </c>
      <c r="AG108" s="188">
        <f t="shared" si="56"/>
        <v>0</v>
      </c>
    </row>
    <row r="109" spans="2:33" ht="15" customHeight="1" x14ac:dyDescent="0.15">
      <c r="B109" s="174" t="s">
        <v>19</v>
      </c>
      <c r="C109" s="175" t="s">
        <v>15</v>
      </c>
      <c r="D109" s="176" t="str">
        <f t="shared" si="38"/>
        <v>C</v>
      </c>
      <c r="E109" s="177" t="d">
        <v>2021-07-26T04:44:59.99999979045242400</v>
      </c>
      <c r="F109" s="178" t="s">
        <v>77</v>
      </c>
      <c r="G109" s="179">
        <v>1806.19</v>
      </c>
      <c r="H109" s="179">
        <v>1801.45</v>
      </c>
      <c r="I109" s="180">
        <f t="shared" si="39"/>
        <v>4.7400000000000091</v>
      </c>
      <c r="J109" s="179">
        <v>1828.92</v>
      </c>
      <c r="K109" s="177" t="d">
        <v>2021-07-26T15:39:00.00000008381903175</v>
      </c>
      <c r="L109" s="179">
        <v>1801.6</v>
      </c>
      <c r="M109" s="181">
        <f t="shared" si="40"/>
        <v>-4.59</v>
      </c>
      <c r="N109" s="182">
        <f t="shared" si="41"/>
        <v>-0.97</v>
      </c>
      <c r="O109" s="183">
        <f t="shared" si="42"/>
        <v>0</v>
      </c>
      <c r="P109" s="184">
        <f t="shared" si="43"/>
        <v>0</v>
      </c>
      <c r="Q109" s="184">
        <f t="shared" si="44"/>
        <v>-0.97</v>
      </c>
      <c r="R10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0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26477.5</v>
      </c>
      <c r="T10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09" s="186">
        <f ca="1">IF(Tabla33610673489[[#This Row],[Equity]]&lt;Tabla33610673489[[#This Row],[Equity Peak]],(Tabla33610673489[[#This Row],[Equity Peak]]-Tabla33610673489[[#This Row],[Equity]])/Tabla33610673489[[#This Row],[Equity Peak]],"")</f>
        <v>0.1207139892071399</v>
      </c>
      <c r="V109" s="187">
        <f t="shared" si="45"/>
        <v>0</v>
      </c>
      <c r="W109" s="187">
        <f t="shared" si="46"/>
        <v>0</v>
      </c>
      <c r="X109" s="187">
        <f t="shared" si="47"/>
        <v>-0.97</v>
      </c>
      <c r="Y109" s="187">
        <f t="shared" si="48"/>
        <v>0</v>
      </c>
      <c r="Z109" s="187">
        <f t="shared" si="49"/>
        <v>0</v>
      </c>
      <c r="AA109" s="183">
        <f t="shared" si="50"/>
        <v>0</v>
      </c>
      <c r="AB109" s="187">
        <f t="shared" si="51"/>
        <v>0</v>
      </c>
      <c r="AC109" s="183">
        <f t="shared" si="52"/>
        <v>0</v>
      </c>
      <c r="AD109" s="188">
        <f t="shared" si="53"/>
        <v>0.45416666667006211</v>
      </c>
      <c r="AE109" s="188">
        <f t="shared" si="54"/>
        <v>0</v>
      </c>
      <c r="AF109" s="188">
        <f t="shared" si="55"/>
        <v>0.45416666667006211</v>
      </c>
      <c r="AG109" s="188">
        <f t="shared" si="56"/>
        <v>0</v>
      </c>
    </row>
    <row r="110" spans="2:33" ht="15" customHeight="1" x14ac:dyDescent="0.15">
      <c r="B110" s="174" t="s">
        <v>19</v>
      </c>
      <c r="C110" s="175" t="s">
        <v>15</v>
      </c>
      <c r="D110" s="176" t="str">
        <f t="shared" si="38"/>
        <v>C</v>
      </c>
      <c r="E110" s="177" t="d">
        <v>2021-07-23T11:00:00.00000020954757600</v>
      </c>
      <c r="F110" s="178" t="s">
        <v>77</v>
      </c>
      <c r="G110" s="179">
        <v>1809.38</v>
      </c>
      <c r="H110" s="179">
        <v>1804.57</v>
      </c>
      <c r="I110" s="180">
        <f t="shared" si="39"/>
        <v>4.8100000000001728</v>
      </c>
      <c r="J110" s="179">
        <v>1832.46</v>
      </c>
      <c r="K110" s="177" t="d">
        <v>2021-07-23T11:51:00.00000012572854425</v>
      </c>
      <c r="L110" s="179">
        <v>1804.57</v>
      </c>
      <c r="M110" s="181">
        <f t="shared" si="40"/>
        <v>-4.8099999999999996</v>
      </c>
      <c r="N110" s="182">
        <f t="shared" si="41"/>
        <v>-1</v>
      </c>
      <c r="O110" s="183">
        <f t="shared" si="42"/>
        <v>0</v>
      </c>
      <c r="P110" s="184">
        <f t="shared" si="43"/>
        <v>0</v>
      </c>
      <c r="Q110" s="184">
        <f t="shared" si="44"/>
        <v>-1</v>
      </c>
      <c r="R11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1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26720</v>
      </c>
      <c r="T11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10" s="186">
        <f ca="1">IF(Tabla33610673489[[#This Row],[Equity]]&lt;Tabla33610673489[[#This Row],[Equity Peak]],(Tabla33610673489[[#This Row],[Equity Peak]]-Tabla33610673489[[#This Row],[Equity]])/Tabla33610673489[[#This Row],[Equity Peak]],"")</f>
        <v>0.11266085512660855</v>
      </c>
      <c r="V110" s="187">
        <f t="shared" si="45"/>
        <v>0</v>
      </c>
      <c r="W110" s="187">
        <f t="shared" si="46"/>
        <v>0</v>
      </c>
      <c r="X110" s="187">
        <f t="shared" si="47"/>
        <v>-1</v>
      </c>
      <c r="Y110" s="187">
        <f t="shared" si="48"/>
        <v>0</v>
      </c>
      <c r="Z110" s="187">
        <f t="shared" si="49"/>
        <v>0</v>
      </c>
      <c r="AA110" s="183">
        <f t="shared" si="50"/>
        <v>0</v>
      </c>
      <c r="AB110" s="187">
        <f t="shared" si="51"/>
        <v>0</v>
      </c>
      <c r="AC110" s="183">
        <f t="shared" si="52"/>
        <v>0</v>
      </c>
      <c r="AD110" s="188">
        <f t="shared" si="53"/>
        <v>3.5416666665696539E-2</v>
      </c>
      <c r="AE110" s="188">
        <f t="shared" si="54"/>
        <v>0</v>
      </c>
      <c r="AF110" s="188">
        <f t="shared" si="55"/>
        <v>3.5416666665696539E-2</v>
      </c>
      <c r="AG110" s="188">
        <f t="shared" si="56"/>
        <v>0</v>
      </c>
    </row>
    <row r="111" spans="2:33" ht="15" customHeight="1" x14ac:dyDescent="0.15">
      <c r="B111" s="174" t="s">
        <v>19</v>
      </c>
      <c r="C111" s="175" t="s">
        <v>15</v>
      </c>
      <c r="D111" s="176" t="str">
        <f t="shared" si="38"/>
        <v>C</v>
      </c>
      <c r="E111" s="177" t="d">
        <v>2021-07-22T18:30:00.00000020954757600</v>
      </c>
      <c r="F111" s="178" t="s">
        <v>77</v>
      </c>
      <c r="G111" s="179">
        <v>1807.74</v>
      </c>
      <c r="H111" s="179">
        <v>1802.73</v>
      </c>
      <c r="I111" s="180">
        <f t="shared" si="39"/>
        <v>5.0099999999999909</v>
      </c>
      <c r="J111" s="179">
        <v>1831.78</v>
      </c>
      <c r="K111" s="177" t="d">
        <v>2021-07-23T06:39:00.00000008381903175</v>
      </c>
      <c r="L111" s="179">
        <v>1802.73</v>
      </c>
      <c r="M111" s="181">
        <f t="shared" si="40"/>
        <v>-5.01</v>
      </c>
      <c r="N111" s="182">
        <f t="shared" si="41"/>
        <v>-1</v>
      </c>
      <c r="O111" s="183">
        <f t="shared" si="42"/>
        <v>0</v>
      </c>
      <c r="P111" s="184">
        <f t="shared" si="43"/>
        <v>0</v>
      </c>
      <c r="Q111" s="184">
        <f t="shared" si="44"/>
        <v>-1</v>
      </c>
      <c r="R11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1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26970</v>
      </c>
      <c r="T11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11" s="186">
        <f ca="1">IF(Tabla33610673489[[#This Row],[Equity]]&lt;Tabla33610673489[[#This Row],[Equity Peak]],(Tabla33610673489[[#This Row],[Equity Peak]]-Tabla33610673489[[#This Row],[Equity]])/Tabla33610673489[[#This Row],[Equity Peak]],"")</f>
        <v>0.10435865504358655</v>
      </c>
      <c r="V111" s="187">
        <f t="shared" si="45"/>
        <v>0</v>
      </c>
      <c r="W111" s="187">
        <f t="shared" si="46"/>
        <v>0</v>
      </c>
      <c r="X111" s="187">
        <f t="shared" si="47"/>
        <v>-1</v>
      </c>
      <c r="Y111" s="187">
        <f t="shared" si="48"/>
        <v>0</v>
      </c>
      <c r="Z111" s="187">
        <f t="shared" si="49"/>
        <v>0</v>
      </c>
      <c r="AA111" s="183">
        <f t="shared" si="50"/>
        <v>0</v>
      </c>
      <c r="AB111" s="187">
        <f t="shared" si="51"/>
        <v>0</v>
      </c>
      <c r="AC111" s="183">
        <f t="shared" si="52"/>
        <v>0</v>
      </c>
      <c r="AD111" s="188">
        <f t="shared" si="53"/>
        <v>0.50624999999854481</v>
      </c>
      <c r="AE111" s="188">
        <f t="shared" si="54"/>
        <v>0</v>
      </c>
      <c r="AF111" s="188">
        <f t="shared" si="55"/>
        <v>0.50624999999854481</v>
      </c>
      <c r="AG111" s="188">
        <f t="shared" si="56"/>
        <v>0</v>
      </c>
    </row>
    <row r="112" spans="2:33" ht="15" customHeight="1" x14ac:dyDescent="0.15">
      <c r="B112" s="174" t="s">
        <v>19</v>
      </c>
      <c r="C112" s="175" t="s">
        <v>15</v>
      </c>
      <c r="D112" s="176" t="str">
        <f t="shared" si="38"/>
        <v>C</v>
      </c>
      <c r="E112" s="177" t="d">
        <v>2021-07-22T15:45:00.000</v>
      </c>
      <c r="F112" s="178" t="s">
        <v>77</v>
      </c>
      <c r="G112" s="179">
        <v>1803.58</v>
      </c>
      <c r="H112" s="179">
        <v>1798.63</v>
      </c>
      <c r="I112" s="180">
        <f t="shared" si="39"/>
        <v>4.9499999999998181</v>
      </c>
      <c r="J112" s="179">
        <v>1827.33</v>
      </c>
      <c r="K112" s="177" t="d">
        <v>2021-07-22T16:35:59.99999991618096825</v>
      </c>
      <c r="L112" s="179">
        <v>1798.63</v>
      </c>
      <c r="M112" s="181">
        <f t="shared" si="40"/>
        <v>-4.95</v>
      </c>
      <c r="N112" s="182">
        <f t="shared" si="41"/>
        <v>-1</v>
      </c>
      <c r="O112" s="183">
        <f t="shared" si="42"/>
        <v>0</v>
      </c>
      <c r="P112" s="184">
        <f t="shared" si="43"/>
        <v>0</v>
      </c>
      <c r="Q112" s="184">
        <f t="shared" si="44"/>
        <v>-1</v>
      </c>
      <c r="R11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1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27220</v>
      </c>
      <c r="T11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12" s="186">
        <f ca="1">IF(Tabla33610673489[[#This Row],[Equity]]&lt;Tabla33610673489[[#This Row],[Equity Peak]],(Tabla33610673489[[#This Row],[Equity Peak]]-Tabla33610673489[[#This Row],[Equity]])/Tabla33610673489[[#This Row],[Equity Peak]],"")</f>
        <v>9.6056454960564544E-2</v>
      </c>
      <c r="V112" s="187">
        <f t="shared" si="45"/>
        <v>0</v>
      </c>
      <c r="W112" s="187">
        <f t="shared" si="46"/>
        <v>0</v>
      </c>
      <c r="X112" s="187">
        <f t="shared" si="47"/>
        <v>-1</v>
      </c>
      <c r="Y112" s="187">
        <f t="shared" si="48"/>
        <v>0</v>
      </c>
      <c r="Z112" s="187">
        <f t="shared" si="49"/>
        <v>0</v>
      </c>
      <c r="AA112" s="183">
        <f t="shared" si="50"/>
        <v>0</v>
      </c>
      <c r="AB112" s="187">
        <f t="shared" si="51"/>
        <v>0</v>
      </c>
      <c r="AC112" s="183">
        <f t="shared" si="52"/>
        <v>0</v>
      </c>
      <c r="AD112" s="188">
        <f t="shared" si="53"/>
        <v>3.5416666665696539E-2</v>
      </c>
      <c r="AE112" s="188">
        <f t="shared" si="54"/>
        <v>0</v>
      </c>
      <c r="AF112" s="188">
        <f t="shared" si="55"/>
        <v>3.5416666665696539E-2</v>
      </c>
      <c r="AG112" s="188">
        <f t="shared" si="56"/>
        <v>0</v>
      </c>
    </row>
    <row r="113" spans="2:33" ht="15" customHeight="1" x14ac:dyDescent="0.15">
      <c r="B113" s="174" t="s">
        <v>19</v>
      </c>
      <c r="C113" s="175" t="s">
        <v>15</v>
      </c>
      <c r="D113" s="176" t="str">
        <f t="shared" ref="D113:D144" si="57">IF(E113&lt;&gt;"",IF(K113&lt;&gt;"","C","O"),"")</f>
        <v>C</v>
      </c>
      <c r="E113" s="177" t="d">
        <v>2021-07-21T09:14:59.99999979045242400</v>
      </c>
      <c r="F113" s="178" t="s">
        <v>77</v>
      </c>
      <c r="G113" s="179">
        <v>1812.37</v>
      </c>
      <c r="H113" s="179">
        <v>1807.52</v>
      </c>
      <c r="I113" s="180">
        <f t="shared" ref="I113:I144" si="58">ABS(G113-H113)</f>
        <v>4.8499999999999091</v>
      </c>
      <c r="J113" s="179">
        <v>1835.63</v>
      </c>
      <c r="K113" s="177" t="d">
        <v>2021-07-21T10:37:00.00000011175870900</v>
      </c>
      <c r="L113" s="179">
        <v>1807.52</v>
      </c>
      <c r="M113" s="181">
        <f t="shared" ref="M113:M144" si="59">ROUND(IF(C113="L",(L113-G113),(G113-L113)),4)</f>
        <v>-4.8499999999999996</v>
      </c>
      <c r="N113" s="182">
        <f t="shared" ref="N113:N144" si="60">IFERROR(ROUND((M113/I113),2),"")</f>
        <v>-1</v>
      </c>
      <c r="O113" s="183">
        <f t="shared" ref="O113:O144" si="61">IF(D113="O",IF(N113&lt;0,N113,0),0)</f>
        <v>0</v>
      </c>
      <c r="P113" s="184">
        <f t="shared" ref="P113:P144" si="62">IF(N113&gt;= 0,N113,0)</f>
        <v>0</v>
      </c>
      <c r="Q113" s="184">
        <f t="shared" ref="Q113:Q144" si="63">IF(N113&lt;0,N113,0)</f>
        <v>-1</v>
      </c>
      <c r="R11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1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27470</v>
      </c>
      <c r="T11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13" s="186">
        <f ca="1">IF(Tabla33610673489[[#This Row],[Equity]]&lt;Tabla33610673489[[#This Row],[Equity Peak]],(Tabla33610673489[[#This Row],[Equity Peak]]-Tabla33610673489[[#This Row],[Equity]])/Tabla33610673489[[#This Row],[Equity Peak]],"")</f>
        <v>8.7754254877542542E-2</v>
      </c>
      <c r="V113" s="187">
        <f t="shared" ref="V113:V144" si="64">IF(B113="FX",N113,0)</f>
        <v>0</v>
      </c>
      <c r="W113" s="187">
        <f t="shared" ref="W113:W144" si="65">IF(D113="O",IF(V113&lt;0,V113,0),0)</f>
        <v>0</v>
      </c>
      <c r="X113" s="187">
        <f t="shared" ref="X113:X144" si="66">IF(B113="COM",N113,0)</f>
        <v>-1</v>
      </c>
      <c r="Y113" s="187">
        <f t="shared" ref="Y113:Y144" si="67">IF(D113="O",IF(X113&lt;0,X113,0),0)</f>
        <v>0</v>
      </c>
      <c r="Z113" s="187">
        <f t="shared" ref="Z113:Z144" si="68">IF(B113="IND",N113,0)</f>
        <v>0</v>
      </c>
      <c r="AA113" s="183">
        <f t="shared" ref="AA113:AA144" si="69">IF(D113="O",IF(Z113&lt;0,Z113,0),0)</f>
        <v>0</v>
      </c>
      <c r="AB113" s="187">
        <f t="shared" ref="AB113:AB144" si="70">IF(B113="CRYPTO",N113,0)</f>
        <v>0</v>
      </c>
      <c r="AC113" s="183">
        <f t="shared" ref="AC113:AC144" si="71">IF(D113="O",IF(AB113&lt;0,AB113,0),0)</f>
        <v>0</v>
      </c>
      <c r="AD113" s="188">
        <f t="shared" ref="AD113:AD144" si="72">IF(K113&lt;&gt;"",K113-E113,0)</f>
        <v>5.6944444448163267E-2</v>
      </c>
      <c r="AE113" s="188">
        <f t="shared" ref="AE113:AE144" si="73">IF(N113&gt;0,AD113,0)</f>
        <v>0</v>
      </c>
      <c r="AF113" s="188">
        <f t="shared" ref="AF113:AF144" si="74">IF(N113&lt;0,AD113,0)</f>
        <v>5.6944444448163267E-2</v>
      </c>
      <c r="AG113" s="188">
        <f t="shared" ref="AG113:AG144" si="75">IF(N113=0,AD113,0)</f>
        <v>0</v>
      </c>
    </row>
    <row r="114" spans="2:33" ht="15" customHeight="1" x14ac:dyDescent="0.15">
      <c r="B114" s="174" t="s">
        <v>19</v>
      </c>
      <c r="C114" s="175" t="s">
        <v>15</v>
      </c>
      <c r="D114" s="176" t="str">
        <f t="shared" si="57"/>
        <v>C</v>
      </c>
      <c r="E114" s="177" t="d">
        <v>2021-07-20T04:15:00.00000020954757600</v>
      </c>
      <c r="F114" s="178" t="s">
        <v>77</v>
      </c>
      <c r="G114" s="179">
        <v>1816.14</v>
      </c>
      <c r="H114" s="179">
        <v>1811.24</v>
      </c>
      <c r="I114" s="180">
        <f t="shared" si="58"/>
        <v>4.9000000000000909</v>
      </c>
      <c r="J114" s="179">
        <v>1839.66</v>
      </c>
      <c r="K114" s="177" t="d">
        <v>2021-07-20T17:39:00.00000029336660775</v>
      </c>
      <c r="L114" s="179">
        <v>1813.74</v>
      </c>
      <c r="M114" s="181">
        <f t="shared" si="59"/>
        <v>-2.4</v>
      </c>
      <c r="N114" s="182">
        <f t="shared" si="60"/>
        <v>-0.49</v>
      </c>
      <c r="O114" s="183">
        <f t="shared" si="61"/>
        <v>0</v>
      </c>
      <c r="P114" s="184">
        <f t="shared" si="62"/>
        <v>0</v>
      </c>
      <c r="Q114" s="184">
        <f t="shared" si="63"/>
        <v>-0.49</v>
      </c>
      <c r="R11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1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27720</v>
      </c>
      <c r="T11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14" s="186">
        <f ca="1">IF(Tabla33610673489[[#This Row],[Equity]]&lt;Tabla33610673489[[#This Row],[Equity Peak]],(Tabla33610673489[[#This Row],[Equity Peak]]-Tabla33610673489[[#This Row],[Equity]])/Tabla33610673489[[#This Row],[Equity Peak]],"")</f>
        <v>7.9452054794520555E-2</v>
      </c>
      <c r="V114" s="187">
        <f t="shared" si="64"/>
        <v>0</v>
      </c>
      <c r="W114" s="187">
        <f t="shared" si="65"/>
        <v>0</v>
      </c>
      <c r="X114" s="187">
        <f t="shared" si="66"/>
        <v>-0.49</v>
      </c>
      <c r="Y114" s="187">
        <f t="shared" si="67"/>
        <v>0</v>
      </c>
      <c r="Z114" s="187">
        <f t="shared" si="68"/>
        <v>0</v>
      </c>
      <c r="AA114" s="183">
        <f t="shared" si="69"/>
        <v>0</v>
      </c>
      <c r="AB114" s="187">
        <f t="shared" si="70"/>
        <v>0</v>
      </c>
      <c r="AC114" s="183">
        <f t="shared" si="71"/>
        <v>0</v>
      </c>
      <c r="AD114" s="188">
        <f t="shared" si="72"/>
        <v>0.55833333333430346</v>
      </c>
      <c r="AE114" s="188">
        <f t="shared" si="73"/>
        <v>0</v>
      </c>
      <c r="AF114" s="188">
        <f t="shared" si="74"/>
        <v>0.55833333333430346</v>
      </c>
      <c r="AG114" s="188">
        <f t="shared" si="75"/>
        <v>0</v>
      </c>
    </row>
    <row r="115" spans="2:33" ht="15" customHeight="1" x14ac:dyDescent="0.15">
      <c r="B115" s="174" t="s">
        <v>19</v>
      </c>
      <c r="C115" s="175" t="s">
        <v>15</v>
      </c>
      <c r="D115" s="176" t="str">
        <f t="shared" si="57"/>
        <v>C</v>
      </c>
      <c r="E115" s="177" t="d">
        <v>2021-07-14T13:44:59.99999979045242400</v>
      </c>
      <c r="F115" s="178" t="s">
        <v>77</v>
      </c>
      <c r="G115" s="179">
        <v>1816.17</v>
      </c>
      <c r="H115" s="179">
        <v>1811.03</v>
      </c>
      <c r="I115" s="180">
        <f t="shared" si="58"/>
        <v>5.1400000000001</v>
      </c>
      <c r="J115" s="179">
        <v>1840.84</v>
      </c>
      <c r="K115" s="177" t="d">
        <v>2021-07-14T16:51:59.99999990221113300</v>
      </c>
      <c r="L115" s="179">
        <v>1823.37</v>
      </c>
      <c r="M115" s="181">
        <f t="shared" si="59"/>
        <v>7.2</v>
      </c>
      <c r="N115" s="182">
        <f t="shared" si="60"/>
        <v>1.4</v>
      </c>
      <c r="O115" s="183">
        <f t="shared" si="61"/>
        <v>0</v>
      </c>
      <c r="P115" s="184">
        <f t="shared" si="62"/>
        <v>1.4</v>
      </c>
      <c r="Q115" s="184">
        <f t="shared" si="63"/>
        <v>0</v>
      </c>
      <c r="R11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1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27842.5</v>
      </c>
      <c r="T11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15" s="186">
        <f ca="1">IF(Tabla33610673489[[#This Row],[Equity]]&lt;Tabla33610673489[[#This Row],[Equity Peak]],(Tabla33610673489[[#This Row],[Equity Peak]]-Tabla33610673489[[#This Row],[Equity]])/Tabla33610673489[[#This Row],[Equity Peak]],"")</f>
        <v>7.5383976753839774E-2</v>
      </c>
      <c r="V115" s="187">
        <f t="shared" si="64"/>
        <v>0</v>
      </c>
      <c r="W115" s="187">
        <f t="shared" si="65"/>
        <v>0</v>
      </c>
      <c r="X115" s="187">
        <f t="shared" si="66"/>
        <v>1.4</v>
      </c>
      <c r="Y115" s="187">
        <f t="shared" si="67"/>
        <v>0</v>
      </c>
      <c r="Z115" s="187">
        <f t="shared" si="68"/>
        <v>0</v>
      </c>
      <c r="AA115" s="183">
        <f t="shared" si="69"/>
        <v>0</v>
      </c>
      <c r="AB115" s="187">
        <f t="shared" si="70"/>
        <v>0</v>
      </c>
      <c r="AC115" s="183">
        <f t="shared" si="71"/>
        <v>0</v>
      </c>
      <c r="AD115" s="188">
        <f t="shared" si="72"/>
        <v>0.12986111111240461</v>
      </c>
      <c r="AE115" s="188">
        <f t="shared" si="73"/>
        <v>0.12986111111240461</v>
      </c>
      <c r="AF115" s="188">
        <f t="shared" si="74"/>
        <v>0</v>
      </c>
      <c r="AG115" s="188">
        <f t="shared" si="75"/>
        <v>0</v>
      </c>
    </row>
    <row r="116" spans="2:33" ht="15" customHeight="1" x14ac:dyDescent="0.15">
      <c r="B116" s="174" t="s">
        <v>19</v>
      </c>
      <c r="C116" s="175" t="s">
        <v>15</v>
      </c>
      <c r="D116" s="176" t="str">
        <f t="shared" si="57"/>
        <v>C</v>
      </c>
      <c r="E116" s="177" t="d">
        <v>2021-07-13T02:45:00.00000020954757600</v>
      </c>
      <c r="F116" s="178" t="s">
        <v>77</v>
      </c>
      <c r="G116" s="179">
        <v>1807.66</v>
      </c>
      <c r="H116" s="179">
        <v>1802.55</v>
      </c>
      <c r="I116" s="180">
        <f t="shared" si="58"/>
        <v>5.1100000000001273</v>
      </c>
      <c r="J116" s="179">
        <v>1832.17</v>
      </c>
      <c r="K116" s="177" t="d">
        <v>2021-07-13T15:53:59.99999987427145575</v>
      </c>
      <c r="L116" s="179">
        <v>1802.99</v>
      </c>
      <c r="M116" s="181">
        <f t="shared" si="59"/>
        <v>-4.67</v>
      </c>
      <c r="N116" s="182">
        <f t="shared" si="60"/>
        <v>-0.91</v>
      </c>
      <c r="O116" s="183">
        <f t="shared" si="61"/>
        <v>0</v>
      </c>
      <c r="P116" s="184">
        <f t="shared" si="62"/>
        <v>0</v>
      </c>
      <c r="Q116" s="184">
        <f t="shared" si="63"/>
        <v>-0.91</v>
      </c>
      <c r="R11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1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27492.5</v>
      </c>
      <c r="T11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16" s="186">
        <f ca="1">IF(Tabla33610673489[[#This Row],[Equity]]&lt;Tabla33610673489[[#This Row],[Equity Peak]],(Tabla33610673489[[#This Row],[Equity Peak]]-Tabla33610673489[[#This Row],[Equity]])/Tabla33610673489[[#This Row],[Equity Peak]],"")</f>
        <v>8.700705687007057E-2</v>
      </c>
      <c r="V116" s="187">
        <f t="shared" si="64"/>
        <v>0</v>
      </c>
      <c r="W116" s="187">
        <f t="shared" si="65"/>
        <v>0</v>
      </c>
      <c r="X116" s="187">
        <f t="shared" si="66"/>
        <v>-0.91</v>
      </c>
      <c r="Y116" s="187">
        <f t="shared" si="67"/>
        <v>0</v>
      </c>
      <c r="Z116" s="187">
        <f t="shared" si="68"/>
        <v>0</v>
      </c>
      <c r="AA116" s="183">
        <f t="shared" si="69"/>
        <v>0</v>
      </c>
      <c r="AB116" s="187">
        <f t="shared" si="70"/>
        <v>0</v>
      </c>
      <c r="AC116" s="183">
        <f t="shared" si="71"/>
        <v>0</v>
      </c>
      <c r="AD116" s="188">
        <f t="shared" si="72"/>
        <v>0.54791666666278616</v>
      </c>
      <c r="AE116" s="188">
        <f t="shared" si="73"/>
        <v>0</v>
      </c>
      <c r="AF116" s="188">
        <f t="shared" si="74"/>
        <v>0.54791666666278616</v>
      </c>
      <c r="AG116" s="188">
        <f t="shared" si="75"/>
        <v>0</v>
      </c>
    </row>
    <row r="117" spans="2:33" ht="15" customHeight="1" x14ac:dyDescent="0.15">
      <c r="B117" s="174" t="s">
        <v>19</v>
      </c>
      <c r="C117" s="175" t="s">
        <v>15</v>
      </c>
      <c r="D117" s="176" t="str">
        <f t="shared" si="57"/>
        <v>C</v>
      </c>
      <c r="E117" s="177" t="d">
        <v>2021-07-09T17:15:00.000</v>
      </c>
      <c r="F117" s="178" t="s">
        <v>77</v>
      </c>
      <c r="G117" s="179">
        <v>1808.05</v>
      </c>
      <c r="H117" s="179">
        <v>1802.72</v>
      </c>
      <c r="I117" s="180">
        <f t="shared" si="58"/>
        <v>5.3299999999999272</v>
      </c>
      <c r="J117" s="179">
        <v>1833.64</v>
      </c>
      <c r="K117" s="177" t="d">
        <v>2021-07-12T06:21:59.99999990221113300</v>
      </c>
      <c r="L117" s="179">
        <v>1802.72</v>
      </c>
      <c r="M117" s="181">
        <f t="shared" si="59"/>
        <v>-5.33</v>
      </c>
      <c r="N117" s="182">
        <f t="shared" si="60"/>
        <v>-1</v>
      </c>
      <c r="O117" s="183">
        <f t="shared" si="61"/>
        <v>0</v>
      </c>
      <c r="P117" s="184">
        <f t="shared" si="62"/>
        <v>0</v>
      </c>
      <c r="Q117" s="184">
        <f t="shared" si="63"/>
        <v>-1</v>
      </c>
      <c r="R11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1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27720</v>
      </c>
      <c r="T11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17" s="186">
        <f ca="1">IF(Tabla33610673489[[#This Row],[Equity]]&lt;Tabla33610673489[[#This Row],[Equity Peak]],(Tabla33610673489[[#This Row],[Equity Peak]]-Tabla33610673489[[#This Row],[Equity]])/Tabla33610673489[[#This Row],[Equity Peak]],"")</f>
        <v>7.9452054794520555E-2</v>
      </c>
      <c r="V117" s="187">
        <f t="shared" si="64"/>
        <v>0</v>
      </c>
      <c r="W117" s="187">
        <f t="shared" si="65"/>
        <v>0</v>
      </c>
      <c r="X117" s="187">
        <f t="shared" si="66"/>
        <v>-1</v>
      </c>
      <c r="Y117" s="187">
        <f t="shared" si="67"/>
        <v>0</v>
      </c>
      <c r="Z117" s="187">
        <f t="shared" si="68"/>
        <v>0</v>
      </c>
      <c r="AA117" s="183">
        <f t="shared" si="69"/>
        <v>0</v>
      </c>
      <c r="AB117" s="187">
        <f t="shared" si="70"/>
        <v>0</v>
      </c>
      <c r="AC117" s="183">
        <f t="shared" si="71"/>
        <v>0</v>
      </c>
      <c r="AD117" s="188">
        <f t="shared" si="72"/>
        <v>2.546527777776646</v>
      </c>
      <c r="AE117" s="188">
        <f t="shared" si="73"/>
        <v>0</v>
      </c>
      <c r="AF117" s="188">
        <f t="shared" si="74"/>
        <v>2.546527777776646</v>
      </c>
      <c r="AG117" s="188">
        <f t="shared" si="75"/>
        <v>0</v>
      </c>
    </row>
    <row r="118" spans="2:33" ht="15" customHeight="1" x14ac:dyDescent="0.15">
      <c r="B118" s="174" t="s">
        <v>19</v>
      </c>
      <c r="C118" s="175" t="s">
        <v>15</v>
      </c>
      <c r="D118" s="176" t="str">
        <f t="shared" si="57"/>
        <v>C</v>
      </c>
      <c r="E118" s="177" t="d">
        <v>2021-07-08T11:29:59.99999979045242400</v>
      </c>
      <c r="F118" s="178" t="s">
        <v>77</v>
      </c>
      <c r="G118" s="179">
        <v>1811.06</v>
      </c>
      <c r="H118" s="179">
        <v>1806.1</v>
      </c>
      <c r="I118" s="180">
        <f t="shared" si="58"/>
        <v>4.9600000000000364</v>
      </c>
      <c r="J118" s="179">
        <v>1834.84</v>
      </c>
      <c r="K118" s="177" t="d">
        <v>2021-07-08T16:54:00.00000029336660775</v>
      </c>
      <c r="L118" s="179">
        <v>1807.38</v>
      </c>
      <c r="M118" s="181">
        <f t="shared" si="59"/>
        <v>-3.68</v>
      </c>
      <c r="N118" s="182">
        <f t="shared" si="60"/>
        <v>-0.74</v>
      </c>
      <c r="O118" s="183">
        <f t="shared" si="61"/>
        <v>0</v>
      </c>
      <c r="P118" s="184">
        <f t="shared" si="62"/>
        <v>0</v>
      </c>
      <c r="Q118" s="184">
        <f t="shared" si="63"/>
        <v>-0.74</v>
      </c>
      <c r="R11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1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27970</v>
      </c>
      <c r="T11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18" s="186">
        <f ca="1">IF(Tabla33610673489[[#This Row],[Equity]]&lt;Tabla33610673489[[#This Row],[Equity Peak]],(Tabla33610673489[[#This Row],[Equity Peak]]-Tabla33610673489[[#This Row],[Equity]])/Tabla33610673489[[#This Row],[Equity Peak]],"")</f>
        <v>7.1149854711498553E-2</v>
      </c>
      <c r="V118" s="187">
        <f t="shared" si="64"/>
        <v>0</v>
      </c>
      <c r="W118" s="187">
        <f t="shared" si="65"/>
        <v>0</v>
      </c>
      <c r="X118" s="187">
        <f t="shared" si="66"/>
        <v>-0.74</v>
      </c>
      <c r="Y118" s="187">
        <f t="shared" si="67"/>
        <v>0</v>
      </c>
      <c r="Z118" s="187">
        <f t="shared" si="68"/>
        <v>0</v>
      </c>
      <c r="AA118" s="183">
        <f t="shared" si="69"/>
        <v>0</v>
      </c>
      <c r="AB118" s="187">
        <f t="shared" si="70"/>
        <v>0</v>
      </c>
      <c r="AC118" s="183">
        <f t="shared" si="71"/>
        <v>0</v>
      </c>
      <c r="AD118" s="188">
        <f t="shared" si="72"/>
        <v>0.22500000000582077</v>
      </c>
      <c r="AE118" s="188">
        <f t="shared" si="73"/>
        <v>0</v>
      </c>
      <c r="AF118" s="188">
        <f t="shared" si="74"/>
        <v>0.22500000000582077</v>
      </c>
      <c r="AG118" s="188">
        <f t="shared" si="75"/>
        <v>0</v>
      </c>
    </row>
    <row r="119" spans="2:33" ht="15" customHeight="1" x14ac:dyDescent="0.15">
      <c r="B119" s="174" t="s">
        <v>19</v>
      </c>
      <c r="C119" s="175" t="s">
        <v>15</v>
      </c>
      <c r="D119" s="176" t="str">
        <f t="shared" si="57"/>
        <v>C</v>
      </c>
      <c r="E119" s="177" t="d">
        <v>2021-07-07T09:45:00.000</v>
      </c>
      <c r="F119" s="178" t="s">
        <v>77</v>
      </c>
      <c r="G119" s="179">
        <v>1804.2</v>
      </c>
      <c r="H119" s="179">
        <v>1799.32</v>
      </c>
      <c r="I119" s="180">
        <f t="shared" si="58"/>
        <v>4.8800000000001091</v>
      </c>
      <c r="J119" s="179">
        <v>1827.65</v>
      </c>
      <c r="K119" s="177" t="d">
        <v>2021-07-07T17:29:59.99999979045242400</v>
      </c>
      <c r="L119" s="179">
        <v>1799.32</v>
      </c>
      <c r="M119" s="181">
        <f t="shared" si="59"/>
        <v>-4.88</v>
      </c>
      <c r="N119" s="182">
        <f t="shared" si="60"/>
        <v>-1</v>
      </c>
      <c r="O119" s="183">
        <f t="shared" si="61"/>
        <v>0</v>
      </c>
      <c r="P119" s="184">
        <f t="shared" si="62"/>
        <v>0</v>
      </c>
      <c r="Q119" s="184">
        <f t="shared" si="63"/>
        <v>-1</v>
      </c>
      <c r="R11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1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28155</v>
      </c>
      <c r="T11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19" s="186">
        <f ca="1">IF(Tabla33610673489[[#This Row],[Equity]]&lt;Tabla33610673489[[#This Row],[Equity Peak]],(Tabla33610673489[[#This Row],[Equity Peak]]-Tabla33610673489[[#This Row],[Equity]])/Tabla33610673489[[#This Row],[Equity Peak]],"")</f>
        <v>6.5006226650062268E-2</v>
      </c>
      <c r="V119" s="187">
        <f t="shared" si="64"/>
        <v>0</v>
      </c>
      <c r="W119" s="187">
        <f t="shared" si="65"/>
        <v>0</v>
      </c>
      <c r="X119" s="187">
        <f t="shared" si="66"/>
        <v>-1</v>
      </c>
      <c r="Y119" s="187">
        <f t="shared" si="67"/>
        <v>0</v>
      </c>
      <c r="Z119" s="187">
        <f t="shared" si="68"/>
        <v>0</v>
      </c>
      <c r="AA119" s="183">
        <f t="shared" si="69"/>
        <v>0</v>
      </c>
      <c r="AB119" s="187">
        <f t="shared" si="70"/>
        <v>0</v>
      </c>
      <c r="AC119" s="183">
        <f t="shared" si="71"/>
        <v>0</v>
      </c>
      <c r="AD119" s="188">
        <f t="shared" si="72"/>
        <v>0.32291666666424135</v>
      </c>
      <c r="AE119" s="188">
        <f t="shared" si="73"/>
        <v>0</v>
      </c>
      <c r="AF119" s="188">
        <f t="shared" si="74"/>
        <v>0.32291666666424135</v>
      </c>
      <c r="AG119" s="188">
        <f t="shared" si="75"/>
        <v>0</v>
      </c>
    </row>
    <row r="120" spans="2:33" ht="15" customHeight="1" x14ac:dyDescent="0.15">
      <c r="B120" s="174" t="s">
        <v>19</v>
      </c>
      <c r="C120" s="175" t="s">
        <v>15</v>
      </c>
      <c r="D120" s="176" t="str">
        <f t="shared" si="57"/>
        <v>C</v>
      </c>
      <c r="E120" s="177" t="d">
        <v>2021-07-05T11:00:00.00000020954757600</v>
      </c>
      <c r="F120" s="178" t="s">
        <v>77</v>
      </c>
      <c r="G120" s="179">
        <v>1792.75</v>
      </c>
      <c r="H120" s="179">
        <v>1787.65</v>
      </c>
      <c r="I120" s="180">
        <f t="shared" si="58"/>
        <v>5.0999999999999091</v>
      </c>
      <c r="J120" s="179">
        <v>1817.21</v>
      </c>
      <c r="K120" s="177" t="d">
        <v>2021-07-06T11:30:59.99999998603016475</v>
      </c>
      <c r="L120" s="179">
        <v>1802.67</v>
      </c>
      <c r="M120" s="181">
        <f t="shared" si="59"/>
        <v>9.92</v>
      </c>
      <c r="N120" s="182">
        <f t="shared" si="60"/>
        <v>1.95</v>
      </c>
      <c r="O120" s="183">
        <f t="shared" si="61"/>
        <v>0</v>
      </c>
      <c r="P120" s="184">
        <f t="shared" si="62"/>
        <v>1.95</v>
      </c>
      <c r="Q120" s="184">
        <f t="shared" si="63"/>
        <v>0</v>
      </c>
      <c r="R12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2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28405</v>
      </c>
      <c r="T12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20" s="186">
        <f ca="1">IF(Tabla33610673489[[#This Row],[Equity]]&lt;Tabla33610673489[[#This Row],[Equity Peak]],(Tabla33610673489[[#This Row],[Equity Peak]]-Tabla33610673489[[#This Row],[Equity]])/Tabla33610673489[[#This Row],[Equity Peak]],"")</f>
        <v>5.6704026567040267E-2</v>
      </c>
      <c r="V120" s="187">
        <f t="shared" si="64"/>
        <v>0</v>
      </c>
      <c r="W120" s="187">
        <f t="shared" si="65"/>
        <v>0</v>
      </c>
      <c r="X120" s="187">
        <f t="shared" si="66"/>
        <v>1.95</v>
      </c>
      <c r="Y120" s="187">
        <f t="shared" si="67"/>
        <v>0</v>
      </c>
      <c r="Z120" s="187">
        <f t="shared" si="68"/>
        <v>0</v>
      </c>
      <c r="AA120" s="183">
        <f t="shared" si="69"/>
        <v>0</v>
      </c>
      <c r="AB120" s="187">
        <f t="shared" si="70"/>
        <v>0</v>
      </c>
      <c r="AC120" s="183">
        <f t="shared" si="71"/>
        <v>0</v>
      </c>
      <c r="AD120" s="188">
        <f t="shared" si="72"/>
        <v>1.0215277777751908</v>
      </c>
      <c r="AE120" s="188">
        <f t="shared" si="73"/>
        <v>1.0215277777751908</v>
      </c>
      <c r="AF120" s="188">
        <f t="shared" si="74"/>
        <v>0</v>
      </c>
      <c r="AG120" s="188">
        <f t="shared" si="75"/>
        <v>0</v>
      </c>
    </row>
    <row r="121" spans="2:33" ht="15" customHeight="1" x14ac:dyDescent="0.15">
      <c r="B121" s="174" t="s">
        <v>19</v>
      </c>
      <c r="C121" s="175" t="s">
        <v>15</v>
      </c>
      <c r="D121" s="176" t="str">
        <f t="shared" si="57"/>
        <v>C</v>
      </c>
      <c r="E121" s="177" t="d">
        <v>2021-07-02T11:15:00.000</v>
      </c>
      <c r="F121" s="178" t="s">
        <v>77</v>
      </c>
      <c r="G121" s="179">
        <v>1781.56</v>
      </c>
      <c r="H121" s="179">
        <v>1776.75</v>
      </c>
      <c r="I121" s="180">
        <f t="shared" si="58"/>
        <v>4.8099999999999454</v>
      </c>
      <c r="J121" s="179">
        <v>1804.62</v>
      </c>
      <c r="K121" s="177" t="d">
        <v>2021-07-02T15:33:00.00000016763806350</v>
      </c>
      <c r="L121" s="179">
        <v>1777.49</v>
      </c>
      <c r="M121" s="181">
        <f t="shared" si="59"/>
        <v>-4.07</v>
      </c>
      <c r="N121" s="182">
        <f t="shared" si="60"/>
        <v>-0.85</v>
      </c>
      <c r="O121" s="183">
        <f t="shared" si="61"/>
        <v>0</v>
      </c>
      <c r="P121" s="184">
        <f t="shared" si="62"/>
        <v>0</v>
      </c>
      <c r="Q121" s="184">
        <f t="shared" si="63"/>
        <v>-0.85</v>
      </c>
      <c r="R12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2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27917.5</v>
      </c>
      <c r="T12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21" s="186">
        <f ca="1">IF(Tabla33610673489[[#This Row],[Equity]]&lt;Tabla33610673489[[#This Row],[Equity Peak]],(Tabla33610673489[[#This Row],[Equity Peak]]-Tabla33610673489[[#This Row],[Equity]])/Tabla33610673489[[#This Row],[Equity Peak]],"")</f>
        <v>7.2893316728933163E-2</v>
      </c>
      <c r="V121" s="187">
        <f t="shared" si="64"/>
        <v>0</v>
      </c>
      <c r="W121" s="187">
        <f t="shared" si="65"/>
        <v>0</v>
      </c>
      <c r="X121" s="187">
        <f t="shared" si="66"/>
        <v>-0.85</v>
      </c>
      <c r="Y121" s="187">
        <f t="shared" si="67"/>
        <v>0</v>
      </c>
      <c r="Z121" s="187">
        <f t="shared" si="68"/>
        <v>0</v>
      </c>
      <c r="AA121" s="183">
        <f t="shared" si="69"/>
        <v>0</v>
      </c>
      <c r="AB121" s="187">
        <f t="shared" si="70"/>
        <v>0</v>
      </c>
      <c r="AC121" s="183">
        <f t="shared" si="71"/>
        <v>0</v>
      </c>
      <c r="AD121" s="188">
        <f t="shared" si="72"/>
        <v>0.17916666666860692</v>
      </c>
      <c r="AE121" s="188">
        <f t="shared" si="73"/>
        <v>0</v>
      </c>
      <c r="AF121" s="188">
        <f t="shared" si="74"/>
        <v>0.17916666666860692</v>
      </c>
      <c r="AG121" s="188">
        <f t="shared" si="75"/>
        <v>0</v>
      </c>
    </row>
    <row r="122" spans="2:33" ht="15" customHeight="1" x14ac:dyDescent="0.15">
      <c r="B122" s="174" t="s">
        <v>19</v>
      </c>
      <c r="C122" s="175" t="s">
        <v>15</v>
      </c>
      <c r="D122" s="176" t="str">
        <f t="shared" si="57"/>
        <v>C</v>
      </c>
      <c r="E122" s="177" t="d">
        <v>2021-06-30T18:00:00.000</v>
      </c>
      <c r="F122" s="178" t="s">
        <v>77</v>
      </c>
      <c r="G122" s="179">
        <v>1765.8</v>
      </c>
      <c r="H122" s="179">
        <v>1760.83</v>
      </c>
      <c r="I122" s="180">
        <f t="shared" si="58"/>
        <v>4.9700000000000273</v>
      </c>
      <c r="J122" s="179">
        <v>1789.67</v>
      </c>
      <c r="K122" s="177" t="d">
        <v>2021-07-01T15:36:59.99999969266355025</v>
      </c>
      <c r="L122" s="179">
        <v>1773.13</v>
      </c>
      <c r="M122" s="181">
        <f t="shared" si="59"/>
        <v>7.33</v>
      </c>
      <c r="N122" s="182">
        <f t="shared" si="60"/>
        <v>1.47</v>
      </c>
      <c r="O122" s="183">
        <f t="shared" si="61"/>
        <v>0</v>
      </c>
      <c r="P122" s="184">
        <f t="shared" si="62"/>
        <v>1.47</v>
      </c>
      <c r="Q122" s="184">
        <f t="shared" si="63"/>
        <v>0</v>
      </c>
      <c r="R12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2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28130</v>
      </c>
      <c r="T12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22" s="186">
        <f ca="1">IF(Tabla33610673489[[#This Row],[Equity]]&lt;Tabla33610673489[[#This Row],[Equity Peak]],(Tabla33610673489[[#This Row],[Equity Peak]]-Tabla33610673489[[#This Row],[Equity]])/Tabla33610673489[[#This Row],[Equity Peak]],"")</f>
        <v>6.5836446658364467E-2</v>
      </c>
      <c r="V122" s="187">
        <f t="shared" si="64"/>
        <v>0</v>
      </c>
      <c r="W122" s="187">
        <f t="shared" si="65"/>
        <v>0</v>
      </c>
      <c r="X122" s="187">
        <f t="shared" si="66"/>
        <v>1.47</v>
      </c>
      <c r="Y122" s="187">
        <f t="shared" si="67"/>
        <v>0</v>
      </c>
      <c r="Z122" s="187">
        <f t="shared" si="68"/>
        <v>0</v>
      </c>
      <c r="AA122" s="183">
        <f t="shared" si="69"/>
        <v>0</v>
      </c>
      <c r="AB122" s="187">
        <f t="shared" si="70"/>
        <v>0</v>
      </c>
      <c r="AC122" s="183">
        <f t="shared" si="71"/>
        <v>0</v>
      </c>
      <c r="AD122" s="188">
        <f t="shared" si="72"/>
        <v>0.90069444444088731</v>
      </c>
      <c r="AE122" s="188">
        <f t="shared" si="73"/>
        <v>0.90069444444088731</v>
      </c>
      <c r="AF122" s="188">
        <f t="shared" si="74"/>
        <v>0</v>
      </c>
      <c r="AG122" s="188">
        <f t="shared" si="75"/>
        <v>0</v>
      </c>
    </row>
    <row r="123" spans="2:33" ht="15" customHeight="1" x14ac:dyDescent="0.15">
      <c r="B123" s="174" t="s">
        <v>19</v>
      </c>
      <c r="C123" s="175" t="s">
        <v>15</v>
      </c>
      <c r="D123" s="176" t="str">
        <f t="shared" si="57"/>
        <v>C</v>
      </c>
      <c r="E123" s="177" t="d">
        <v>2021-06-28T08:29:59.99999979045242400</v>
      </c>
      <c r="F123" s="178" t="s">
        <v>77</v>
      </c>
      <c r="G123" s="179">
        <v>1783.84</v>
      </c>
      <c r="H123" s="179">
        <v>1778.75</v>
      </c>
      <c r="I123" s="180">
        <f t="shared" si="58"/>
        <v>5.0899999999999181</v>
      </c>
      <c r="J123" s="179">
        <v>1808.29</v>
      </c>
      <c r="K123" s="177" t="d">
        <v>2021-06-28T11:09:00.00000008381903175</v>
      </c>
      <c r="L123" s="179">
        <v>1778.75</v>
      </c>
      <c r="M123" s="181">
        <f t="shared" si="59"/>
        <v>-5.09</v>
      </c>
      <c r="N123" s="182">
        <f t="shared" si="60"/>
        <v>-1</v>
      </c>
      <c r="O123" s="183">
        <f t="shared" si="61"/>
        <v>0</v>
      </c>
      <c r="P123" s="184">
        <f t="shared" si="62"/>
        <v>0</v>
      </c>
      <c r="Q123" s="184">
        <f t="shared" si="63"/>
        <v>-1</v>
      </c>
      <c r="R12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2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27762.5</v>
      </c>
      <c r="T12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23" s="186">
        <f ca="1">IF(Tabla33610673489[[#This Row],[Equity]]&lt;Tabla33610673489[[#This Row],[Equity Peak]],(Tabla33610673489[[#This Row],[Equity Peak]]-Tabla33610673489[[#This Row],[Equity]])/Tabla33610673489[[#This Row],[Equity Peak]],"")</f>
        <v>7.804068078040681E-2</v>
      </c>
      <c r="V123" s="187">
        <f t="shared" si="64"/>
        <v>0</v>
      </c>
      <c r="W123" s="187">
        <f t="shared" si="65"/>
        <v>0</v>
      </c>
      <c r="X123" s="187">
        <f t="shared" si="66"/>
        <v>-1</v>
      </c>
      <c r="Y123" s="187">
        <f t="shared" si="67"/>
        <v>0</v>
      </c>
      <c r="Z123" s="187">
        <f t="shared" si="68"/>
        <v>0</v>
      </c>
      <c r="AA123" s="183">
        <f t="shared" si="69"/>
        <v>0</v>
      </c>
      <c r="AB123" s="187">
        <f t="shared" si="70"/>
        <v>0</v>
      </c>
      <c r="AC123" s="183">
        <f t="shared" si="71"/>
        <v>0</v>
      </c>
      <c r="AD123" s="188">
        <f t="shared" si="72"/>
        <v>0.11041666667006211</v>
      </c>
      <c r="AE123" s="188">
        <f t="shared" si="73"/>
        <v>0</v>
      </c>
      <c r="AF123" s="188">
        <f t="shared" si="74"/>
        <v>0.11041666667006211</v>
      </c>
      <c r="AG123" s="188">
        <f t="shared" si="75"/>
        <v>0</v>
      </c>
    </row>
    <row r="124" spans="2:33" ht="15" customHeight="1" x14ac:dyDescent="0.15">
      <c r="B124" s="174" t="s">
        <v>19</v>
      </c>
      <c r="C124" s="175" t="s">
        <v>15</v>
      </c>
      <c r="D124" s="176" t="str">
        <f t="shared" si="57"/>
        <v>C</v>
      </c>
      <c r="E124" s="177" t="d">
        <v>2021-06-25T09:00:00.000</v>
      </c>
      <c r="F124" s="178" t="s">
        <v>77</v>
      </c>
      <c r="G124" s="179">
        <v>1780.75</v>
      </c>
      <c r="H124" s="179">
        <v>1775.18</v>
      </c>
      <c r="I124" s="180">
        <f t="shared" si="58"/>
        <v>5.5699999999999363</v>
      </c>
      <c r="J124" s="179">
        <v>1807.49</v>
      </c>
      <c r="K124" s="177" t="d">
        <v>2021-06-25T19:06:59.99999990221113300</v>
      </c>
      <c r="L124" s="179">
        <v>1778.02</v>
      </c>
      <c r="M124" s="181">
        <f t="shared" si="59"/>
        <v>-2.73</v>
      </c>
      <c r="N124" s="182">
        <f t="shared" si="60"/>
        <v>-0.49</v>
      </c>
      <c r="O124" s="183">
        <f t="shared" si="61"/>
        <v>0</v>
      </c>
      <c r="P124" s="184">
        <f t="shared" si="62"/>
        <v>0</v>
      </c>
      <c r="Q124" s="184">
        <f t="shared" si="63"/>
        <v>-0.49</v>
      </c>
      <c r="R12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2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28012.5</v>
      </c>
      <c r="T12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24" s="186">
        <f ca="1">IF(Tabla33610673489[[#This Row],[Equity]]&lt;Tabla33610673489[[#This Row],[Equity Peak]],(Tabla33610673489[[#This Row],[Equity Peak]]-Tabla33610673489[[#This Row],[Equity]])/Tabla33610673489[[#This Row],[Equity Peak]],"")</f>
        <v>6.9738480697384808E-2</v>
      </c>
      <c r="V124" s="187">
        <f t="shared" si="64"/>
        <v>0</v>
      </c>
      <c r="W124" s="187">
        <f t="shared" si="65"/>
        <v>0</v>
      </c>
      <c r="X124" s="187">
        <f t="shared" si="66"/>
        <v>-0.49</v>
      </c>
      <c r="Y124" s="187">
        <f t="shared" si="67"/>
        <v>0</v>
      </c>
      <c r="Z124" s="187">
        <f t="shared" si="68"/>
        <v>0</v>
      </c>
      <c r="AA124" s="183">
        <f t="shared" si="69"/>
        <v>0</v>
      </c>
      <c r="AB124" s="187">
        <f t="shared" si="70"/>
        <v>0</v>
      </c>
      <c r="AC124" s="183">
        <f t="shared" si="71"/>
        <v>0</v>
      </c>
      <c r="AD124" s="188">
        <f t="shared" si="72"/>
        <v>0.42152777777664596</v>
      </c>
      <c r="AE124" s="188">
        <f t="shared" si="73"/>
        <v>0</v>
      </c>
      <c r="AF124" s="188">
        <f t="shared" si="74"/>
        <v>0.42152777777664596</v>
      </c>
      <c r="AG124" s="188">
        <f t="shared" si="75"/>
        <v>0</v>
      </c>
    </row>
    <row r="125" spans="2:33" ht="15" customHeight="1" x14ac:dyDescent="0.15">
      <c r="B125" s="174" t="s">
        <v>19</v>
      </c>
      <c r="C125" s="175" t="s">
        <v>15</v>
      </c>
      <c r="D125" s="176" t="str">
        <f t="shared" si="57"/>
        <v>C</v>
      </c>
      <c r="E125" s="177" t="d">
        <v>2021-06-24T11:45:00.00000020954757600</v>
      </c>
      <c r="F125" s="178" t="s">
        <v>77</v>
      </c>
      <c r="G125" s="179">
        <v>1782.21</v>
      </c>
      <c r="H125" s="179">
        <v>1775.85</v>
      </c>
      <c r="I125" s="180">
        <f t="shared" si="58"/>
        <v>6.3600000000001273</v>
      </c>
      <c r="J125" s="179">
        <v>1812.73</v>
      </c>
      <c r="K125" s="177" t="d">
        <v>2021-06-24T20:35:59.99999970663339225</v>
      </c>
      <c r="L125" s="179">
        <v>1775.85</v>
      </c>
      <c r="M125" s="181">
        <f t="shared" si="59"/>
        <v>-6.36</v>
      </c>
      <c r="N125" s="182">
        <f t="shared" si="60"/>
        <v>-1</v>
      </c>
      <c r="O125" s="183">
        <f t="shared" si="61"/>
        <v>0</v>
      </c>
      <c r="P125" s="184">
        <f t="shared" si="62"/>
        <v>0</v>
      </c>
      <c r="Q125" s="184">
        <f t="shared" si="63"/>
        <v>-1</v>
      </c>
      <c r="R12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2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28135</v>
      </c>
      <c r="T12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25" s="186">
        <f ca="1">IF(Tabla33610673489[[#This Row],[Equity]]&lt;Tabla33610673489[[#This Row],[Equity Peak]],(Tabla33610673489[[#This Row],[Equity Peak]]-Tabla33610673489[[#This Row],[Equity]])/Tabla33610673489[[#This Row],[Equity Peak]],"")</f>
        <v>6.5670402656704027E-2</v>
      </c>
      <c r="V125" s="187">
        <f t="shared" si="64"/>
        <v>0</v>
      </c>
      <c r="W125" s="187">
        <f t="shared" si="65"/>
        <v>0</v>
      </c>
      <c r="X125" s="187">
        <f t="shared" si="66"/>
        <v>-1</v>
      </c>
      <c r="Y125" s="187">
        <f t="shared" si="67"/>
        <v>0</v>
      </c>
      <c r="Z125" s="187">
        <f t="shared" si="68"/>
        <v>0</v>
      </c>
      <c r="AA125" s="183">
        <f t="shared" si="69"/>
        <v>0</v>
      </c>
      <c r="AB125" s="187">
        <f t="shared" si="70"/>
        <v>0</v>
      </c>
      <c r="AC125" s="183">
        <f t="shared" si="71"/>
        <v>0</v>
      </c>
      <c r="AD125" s="188">
        <f t="shared" si="72"/>
        <v>0.36874999999417923</v>
      </c>
      <c r="AE125" s="188">
        <f t="shared" si="73"/>
        <v>0</v>
      </c>
      <c r="AF125" s="188">
        <f t="shared" si="74"/>
        <v>0.36874999999417923</v>
      </c>
      <c r="AG125" s="188">
        <f t="shared" si="75"/>
        <v>0</v>
      </c>
    </row>
    <row r="126" spans="2:33" ht="15" customHeight="1" x14ac:dyDescent="0.15">
      <c r="B126" s="174" t="s">
        <v>19</v>
      </c>
      <c r="C126" s="175" t="s">
        <v>15</v>
      </c>
      <c r="D126" s="176" t="str">
        <f t="shared" si="57"/>
        <v>C</v>
      </c>
      <c r="E126" s="177" t="d">
        <v>2021-06-23T15:14:59.99999979045242400</v>
      </c>
      <c r="F126" s="178" t="s">
        <v>77</v>
      </c>
      <c r="G126" s="179">
        <v>1785.91</v>
      </c>
      <c r="H126" s="179">
        <v>1779.12</v>
      </c>
      <c r="I126" s="180">
        <f t="shared" si="58"/>
        <v>6.790000000000191</v>
      </c>
      <c r="J126" s="179">
        <v>1818.51</v>
      </c>
      <c r="K126" s="177" t="d">
        <v>2021-06-23T21:30:59.99999977648258200</v>
      </c>
      <c r="L126" s="179">
        <v>1780.6</v>
      </c>
      <c r="M126" s="181">
        <f t="shared" si="59"/>
        <v>-5.31</v>
      </c>
      <c r="N126" s="182">
        <f t="shared" si="60"/>
        <v>-0.78</v>
      </c>
      <c r="O126" s="183">
        <f t="shared" si="61"/>
        <v>0</v>
      </c>
      <c r="P126" s="184">
        <f t="shared" si="62"/>
        <v>0</v>
      </c>
      <c r="Q126" s="184">
        <f t="shared" si="63"/>
        <v>-0.78</v>
      </c>
      <c r="R12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2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28385</v>
      </c>
      <c r="T12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26" s="186">
        <f ca="1">IF(Tabla33610673489[[#This Row],[Equity]]&lt;Tabla33610673489[[#This Row],[Equity Peak]],(Tabla33610673489[[#This Row],[Equity Peak]]-Tabla33610673489[[#This Row],[Equity]])/Tabla33610673489[[#This Row],[Equity Peak]],"")</f>
        <v>5.7368202573682026E-2</v>
      </c>
      <c r="V126" s="187">
        <f t="shared" si="64"/>
        <v>0</v>
      </c>
      <c r="W126" s="187">
        <f t="shared" si="65"/>
        <v>0</v>
      </c>
      <c r="X126" s="187">
        <f t="shared" si="66"/>
        <v>-0.78</v>
      </c>
      <c r="Y126" s="187">
        <f t="shared" si="67"/>
        <v>0</v>
      </c>
      <c r="Z126" s="187">
        <f t="shared" si="68"/>
        <v>0</v>
      </c>
      <c r="AA126" s="183">
        <f t="shared" si="69"/>
        <v>0</v>
      </c>
      <c r="AB126" s="187">
        <f t="shared" si="70"/>
        <v>0</v>
      </c>
      <c r="AC126" s="183">
        <f t="shared" si="71"/>
        <v>0</v>
      </c>
      <c r="AD126" s="188">
        <f t="shared" si="72"/>
        <v>0.26111111111094942</v>
      </c>
      <c r="AE126" s="188">
        <f t="shared" si="73"/>
        <v>0</v>
      </c>
      <c r="AF126" s="188">
        <f t="shared" si="74"/>
        <v>0.26111111111094942</v>
      </c>
      <c r="AG126" s="188">
        <f t="shared" si="75"/>
        <v>0</v>
      </c>
    </row>
    <row r="127" spans="2:33" ht="15" customHeight="1" x14ac:dyDescent="0.15">
      <c r="B127" s="174" t="s">
        <v>19</v>
      </c>
      <c r="C127" s="175" t="s">
        <v>15</v>
      </c>
      <c r="D127" s="176" t="str">
        <f t="shared" si="57"/>
        <v>C</v>
      </c>
      <c r="E127" s="177" t="d">
        <v>2021-06-21T09:14:59.99999979045242400</v>
      </c>
      <c r="F127" s="178" t="s">
        <v>77</v>
      </c>
      <c r="G127" s="179">
        <v>1777.95</v>
      </c>
      <c r="H127" s="179">
        <v>1771.27</v>
      </c>
      <c r="I127" s="180">
        <f t="shared" si="58"/>
        <v>6.6800000000000637</v>
      </c>
      <c r="J127" s="179">
        <v>1810.01</v>
      </c>
      <c r="K127" s="177" t="d">
        <v>2021-06-22T15:33:59.999999734573066125</v>
      </c>
      <c r="L127" s="179">
        <v>1776.16</v>
      </c>
      <c r="M127" s="181">
        <f t="shared" si="59"/>
        <v>-1.79</v>
      </c>
      <c r="N127" s="182">
        <f t="shared" si="60"/>
        <v>-0.27</v>
      </c>
      <c r="O127" s="183">
        <f t="shared" si="61"/>
        <v>0</v>
      </c>
      <c r="P127" s="184">
        <f t="shared" si="62"/>
        <v>0</v>
      </c>
      <c r="Q127" s="184">
        <f t="shared" si="63"/>
        <v>-0.27</v>
      </c>
      <c r="R12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2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28580</v>
      </c>
      <c r="T12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27" s="186">
        <f ca="1">IF(Tabla33610673489[[#This Row],[Equity]]&lt;Tabla33610673489[[#This Row],[Equity Peak]],(Tabla33610673489[[#This Row],[Equity Peak]]-Tabla33610673489[[#This Row],[Equity]])/Tabla33610673489[[#This Row],[Equity Peak]],"")</f>
        <v>5.0892486508924868E-2</v>
      </c>
      <c r="V127" s="187">
        <f t="shared" si="64"/>
        <v>0</v>
      </c>
      <c r="W127" s="187">
        <f t="shared" si="65"/>
        <v>0</v>
      </c>
      <c r="X127" s="187">
        <f t="shared" si="66"/>
        <v>-0.27</v>
      </c>
      <c r="Y127" s="187">
        <f t="shared" si="67"/>
        <v>0</v>
      </c>
      <c r="Z127" s="187">
        <f t="shared" si="68"/>
        <v>0</v>
      </c>
      <c r="AA127" s="183">
        <f t="shared" si="69"/>
        <v>0</v>
      </c>
      <c r="AB127" s="187">
        <f t="shared" si="70"/>
        <v>0</v>
      </c>
      <c r="AC127" s="183">
        <f t="shared" si="71"/>
        <v>0</v>
      </c>
      <c r="AD127" s="188">
        <f t="shared" si="72"/>
        <v>1.2631944444437977</v>
      </c>
      <c r="AE127" s="188">
        <f t="shared" si="73"/>
        <v>0</v>
      </c>
      <c r="AF127" s="188">
        <f t="shared" si="74"/>
        <v>1.2631944444437977</v>
      </c>
      <c r="AG127" s="188">
        <f t="shared" si="75"/>
        <v>0</v>
      </c>
    </row>
    <row r="128" spans="2:33" ht="15" customHeight="1" x14ac:dyDescent="0.15">
      <c r="B128" s="174" t="s">
        <v>19</v>
      </c>
      <c r="C128" s="175" t="s">
        <v>15</v>
      </c>
      <c r="D128" s="176" t="str">
        <f t="shared" si="57"/>
        <v>C</v>
      </c>
      <c r="E128" s="177" t="d">
        <v>2021-06-18T10:30:00.000</v>
      </c>
      <c r="F128" s="178" t="s">
        <v>77</v>
      </c>
      <c r="G128" s="179">
        <v>1787.38</v>
      </c>
      <c r="H128" s="179">
        <v>1781.17</v>
      </c>
      <c r="I128" s="180">
        <f t="shared" si="58"/>
        <v>6.2100000000000364</v>
      </c>
      <c r="J128" s="179">
        <v>1817.21</v>
      </c>
      <c r="K128" s="177" t="d">
        <v>2021-06-18T15:24:00.00000029336660775</v>
      </c>
      <c r="L128" s="179">
        <v>1781.79</v>
      </c>
      <c r="M128" s="181">
        <f t="shared" si="59"/>
        <v>-5.59</v>
      </c>
      <c r="N128" s="182">
        <f t="shared" si="60"/>
        <v>-0.9</v>
      </c>
      <c r="O128" s="183">
        <f t="shared" si="61"/>
        <v>0</v>
      </c>
      <c r="P128" s="184">
        <f t="shared" si="62"/>
        <v>0</v>
      </c>
      <c r="Q128" s="184">
        <f t="shared" si="63"/>
        <v>-0.9</v>
      </c>
      <c r="R12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2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28647.5</v>
      </c>
      <c r="T12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28" s="186">
        <f ca="1">IF(Tabla33610673489[[#This Row],[Equity]]&lt;Tabla33610673489[[#This Row],[Equity Peak]],(Tabla33610673489[[#This Row],[Equity Peak]]-Tabla33610673489[[#This Row],[Equity]])/Tabla33610673489[[#This Row],[Equity Peak]],"")</f>
        <v>4.8650892486508925E-2</v>
      </c>
      <c r="V128" s="187">
        <f t="shared" si="64"/>
        <v>0</v>
      </c>
      <c r="W128" s="187">
        <f t="shared" si="65"/>
        <v>0</v>
      </c>
      <c r="X128" s="187">
        <f t="shared" si="66"/>
        <v>-0.9</v>
      </c>
      <c r="Y128" s="187">
        <f t="shared" si="67"/>
        <v>0</v>
      </c>
      <c r="Z128" s="187">
        <f t="shared" si="68"/>
        <v>0</v>
      </c>
      <c r="AA128" s="183">
        <f t="shared" si="69"/>
        <v>0</v>
      </c>
      <c r="AB128" s="187">
        <f t="shared" si="70"/>
        <v>0</v>
      </c>
      <c r="AC128" s="183">
        <f t="shared" si="71"/>
        <v>0</v>
      </c>
      <c r="AD128" s="188">
        <f t="shared" si="72"/>
        <v>0.20416666667006211</v>
      </c>
      <c r="AE128" s="188">
        <f t="shared" si="73"/>
        <v>0</v>
      </c>
      <c r="AF128" s="188">
        <f t="shared" si="74"/>
        <v>0.20416666667006211</v>
      </c>
      <c r="AG128" s="188">
        <f t="shared" si="75"/>
        <v>0</v>
      </c>
    </row>
    <row r="129" spans="2:33" ht="15" customHeight="1" x14ac:dyDescent="0.15">
      <c r="B129" s="174" t="s">
        <v>19</v>
      </c>
      <c r="C129" s="175" t="s">
        <v>15</v>
      </c>
      <c r="D129" s="176" t="str">
        <f t="shared" si="57"/>
        <v>C</v>
      </c>
      <c r="E129" s="177" t="d">
        <v>2021-06-16T21:00:00.000</v>
      </c>
      <c r="F129" s="178" t="s">
        <v>77</v>
      </c>
      <c r="G129" s="179">
        <v>1861.99</v>
      </c>
      <c r="H129" s="179">
        <v>1856.87</v>
      </c>
      <c r="I129" s="180">
        <f t="shared" si="58"/>
        <v>5.1200000000001182</v>
      </c>
      <c r="J129" s="179">
        <v>1886.54</v>
      </c>
      <c r="K129" s="177" t="d">
        <v>2021-06-16T21:00:00.000</v>
      </c>
      <c r="L129" s="179">
        <v>1856.87</v>
      </c>
      <c r="M129" s="181">
        <f t="shared" si="59"/>
        <v>-5.12</v>
      </c>
      <c r="N129" s="182">
        <f t="shared" si="60"/>
        <v>-1</v>
      </c>
      <c r="O129" s="183">
        <f t="shared" si="61"/>
        <v>0</v>
      </c>
      <c r="P129" s="184">
        <f t="shared" si="62"/>
        <v>0</v>
      </c>
      <c r="Q129" s="184">
        <f t="shared" si="63"/>
        <v>-1</v>
      </c>
      <c r="R12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2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28872.5</v>
      </c>
      <c r="T12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29" s="186">
        <f ca="1">IF(Tabla33610673489[[#This Row],[Equity]]&lt;Tabla33610673489[[#This Row],[Equity Peak]],(Tabla33610673489[[#This Row],[Equity Peak]]-Tabla33610673489[[#This Row],[Equity]])/Tabla33610673489[[#This Row],[Equity Peak]],"")</f>
        <v>4.1178912411789122E-2</v>
      </c>
      <c r="V129" s="187">
        <f t="shared" si="64"/>
        <v>0</v>
      </c>
      <c r="W129" s="187">
        <f t="shared" si="65"/>
        <v>0</v>
      </c>
      <c r="X129" s="187">
        <f t="shared" si="66"/>
        <v>-1</v>
      </c>
      <c r="Y129" s="187">
        <f t="shared" si="67"/>
        <v>0</v>
      </c>
      <c r="Z129" s="187">
        <f t="shared" si="68"/>
        <v>0</v>
      </c>
      <c r="AA129" s="183">
        <f t="shared" si="69"/>
        <v>0</v>
      </c>
      <c r="AB129" s="187">
        <f t="shared" si="70"/>
        <v>0</v>
      </c>
      <c r="AC129" s="183">
        <f t="shared" si="71"/>
        <v>0</v>
      </c>
      <c r="AD129" s="188">
        <f t="shared" si="72"/>
        <v>0</v>
      </c>
      <c r="AE129" s="188">
        <f t="shared" si="73"/>
        <v>0</v>
      </c>
      <c r="AF129" s="188">
        <f t="shared" si="74"/>
        <v>0</v>
      </c>
      <c r="AG129" s="188">
        <f t="shared" si="75"/>
        <v>0</v>
      </c>
    </row>
    <row r="130" spans="2:33" ht="15" customHeight="1" x14ac:dyDescent="0.15">
      <c r="B130" s="174" t="s">
        <v>19</v>
      </c>
      <c r="C130" s="175" t="s">
        <v>15</v>
      </c>
      <c r="D130" s="176" t="str">
        <f t="shared" si="57"/>
        <v>C</v>
      </c>
      <c r="E130" s="177" t="d">
        <v>2021-06-16T08:45:00.00000020954757600</v>
      </c>
      <c r="F130" s="178" t="s">
        <v>77</v>
      </c>
      <c r="G130" s="179">
        <v>1860.93</v>
      </c>
      <c r="H130" s="179">
        <v>1855.96</v>
      </c>
      <c r="I130" s="180">
        <f t="shared" si="58"/>
        <v>4.9700000000000273</v>
      </c>
      <c r="J130" s="179">
        <v>1884.8</v>
      </c>
      <c r="K130" s="177" t="d">
        <v>2021-06-16T13:54:00.00000029336660775</v>
      </c>
      <c r="L130" s="179">
        <v>1855.96</v>
      </c>
      <c r="M130" s="181">
        <f t="shared" si="59"/>
        <v>-4.97</v>
      </c>
      <c r="N130" s="182">
        <f t="shared" si="60"/>
        <v>-1</v>
      </c>
      <c r="O130" s="183">
        <f t="shared" si="61"/>
        <v>0</v>
      </c>
      <c r="P130" s="184">
        <f t="shared" si="62"/>
        <v>0</v>
      </c>
      <c r="Q130" s="184">
        <f t="shared" si="63"/>
        <v>-1</v>
      </c>
      <c r="R13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3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29122.5</v>
      </c>
      <c r="T13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30" s="186">
        <f ca="1">IF(Tabla33610673489[[#This Row],[Equity]]&lt;Tabla33610673489[[#This Row],[Equity Peak]],(Tabla33610673489[[#This Row],[Equity Peak]]-Tabla33610673489[[#This Row],[Equity]])/Tabla33610673489[[#This Row],[Equity Peak]],"")</f>
        <v>3.287671232876712E-2</v>
      </c>
      <c r="V130" s="187">
        <f t="shared" si="64"/>
        <v>0</v>
      </c>
      <c r="W130" s="187">
        <f t="shared" si="65"/>
        <v>0</v>
      </c>
      <c r="X130" s="187">
        <f t="shared" si="66"/>
        <v>-1</v>
      </c>
      <c r="Y130" s="187">
        <f t="shared" si="67"/>
        <v>0</v>
      </c>
      <c r="Z130" s="187">
        <f t="shared" si="68"/>
        <v>0</v>
      </c>
      <c r="AA130" s="183">
        <f t="shared" si="69"/>
        <v>0</v>
      </c>
      <c r="AB130" s="187">
        <f t="shared" si="70"/>
        <v>0</v>
      </c>
      <c r="AC130" s="183">
        <f t="shared" si="71"/>
        <v>0</v>
      </c>
      <c r="AD130" s="188">
        <f t="shared" si="72"/>
        <v>0.21458333333430346</v>
      </c>
      <c r="AE130" s="188">
        <f t="shared" si="73"/>
        <v>0</v>
      </c>
      <c r="AF130" s="188">
        <f t="shared" si="74"/>
        <v>0.21458333333430346</v>
      </c>
      <c r="AG130" s="188">
        <f t="shared" si="75"/>
        <v>0</v>
      </c>
    </row>
    <row r="131" spans="2:33" ht="15" customHeight="1" x14ac:dyDescent="0.15">
      <c r="B131" s="174" t="s">
        <v>19</v>
      </c>
      <c r="C131" s="175" t="s">
        <v>15</v>
      </c>
      <c r="D131" s="176" t="str">
        <f t="shared" si="57"/>
        <v>C</v>
      </c>
      <c r="E131" s="177" t="d">
        <v>2021-06-10T21:59:59.99999979045242400</v>
      </c>
      <c r="F131" s="178" t="s">
        <v>77</v>
      </c>
      <c r="G131" s="179">
        <v>1896.1</v>
      </c>
      <c r="H131" s="179">
        <v>1891.12</v>
      </c>
      <c r="I131" s="180">
        <f t="shared" si="58"/>
        <v>4.9800000000000182</v>
      </c>
      <c r="J131" s="179">
        <v>1919.98</v>
      </c>
      <c r="K131" s="177" t="d">
        <v>2021-06-11T12:18:59.99999994412064550</v>
      </c>
      <c r="L131" s="179">
        <v>1892.88</v>
      </c>
      <c r="M131" s="181">
        <f t="shared" si="59"/>
        <v>-3.22</v>
      </c>
      <c r="N131" s="182">
        <f t="shared" si="60"/>
        <v>-0.65</v>
      </c>
      <c r="O131" s="183">
        <f t="shared" si="61"/>
        <v>0</v>
      </c>
      <c r="P131" s="184">
        <f t="shared" si="62"/>
        <v>0</v>
      </c>
      <c r="Q131" s="184">
        <f t="shared" si="63"/>
        <v>-0.65</v>
      </c>
      <c r="R13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3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29372.5</v>
      </c>
      <c r="T13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31" s="186">
        <f ca="1">IF(Tabla33610673489[[#This Row],[Equity]]&lt;Tabla33610673489[[#This Row],[Equity Peak]],(Tabla33610673489[[#This Row],[Equity Peak]]-Tabla33610673489[[#This Row],[Equity]])/Tabla33610673489[[#This Row],[Equity Peak]],"")</f>
        <v>2.4574512245745122E-2</v>
      </c>
      <c r="V131" s="187">
        <f t="shared" si="64"/>
        <v>0</v>
      </c>
      <c r="W131" s="187">
        <f t="shared" si="65"/>
        <v>0</v>
      </c>
      <c r="X131" s="187">
        <f t="shared" si="66"/>
        <v>-0.65</v>
      </c>
      <c r="Y131" s="187">
        <f t="shared" si="67"/>
        <v>0</v>
      </c>
      <c r="Z131" s="187">
        <f t="shared" si="68"/>
        <v>0</v>
      </c>
      <c r="AA131" s="183">
        <f t="shared" si="69"/>
        <v>0</v>
      </c>
      <c r="AB131" s="187">
        <f t="shared" si="70"/>
        <v>0</v>
      </c>
      <c r="AC131" s="183">
        <f t="shared" si="71"/>
        <v>0</v>
      </c>
      <c r="AD131" s="188">
        <f t="shared" si="72"/>
        <v>0.59652777777955635</v>
      </c>
      <c r="AE131" s="188">
        <f t="shared" si="73"/>
        <v>0</v>
      </c>
      <c r="AF131" s="188">
        <f t="shared" si="74"/>
        <v>0.59652777777955635</v>
      </c>
      <c r="AG131" s="188">
        <f t="shared" si="75"/>
        <v>0</v>
      </c>
    </row>
    <row r="132" spans="2:33" ht="15" customHeight="1" x14ac:dyDescent="0.15">
      <c r="B132" s="174" t="s">
        <v>19</v>
      </c>
      <c r="C132" s="175" t="s">
        <v>15</v>
      </c>
      <c r="D132" s="176" t="str">
        <f t="shared" si="57"/>
        <v>C</v>
      </c>
      <c r="E132" s="177" t="d">
        <v>2021-06-10T15:59:59.99999979045242400</v>
      </c>
      <c r="F132" s="178" t="s">
        <v>77</v>
      </c>
      <c r="G132" s="179">
        <v>1890.98</v>
      </c>
      <c r="H132" s="179">
        <v>1886.02</v>
      </c>
      <c r="I132" s="180">
        <f t="shared" si="58"/>
        <v>4.9600000000000364</v>
      </c>
      <c r="J132" s="179">
        <v>1914.81</v>
      </c>
      <c r="K132" s="177" t="d">
        <v>2021-06-10T16:30:00.000</v>
      </c>
      <c r="L132" s="179">
        <v>1886.02</v>
      </c>
      <c r="M132" s="181">
        <f t="shared" si="59"/>
        <v>-4.96</v>
      </c>
      <c r="N132" s="182">
        <f t="shared" si="60"/>
        <v>-1</v>
      </c>
      <c r="O132" s="183">
        <f t="shared" si="61"/>
        <v>0</v>
      </c>
      <c r="P132" s="184">
        <f t="shared" si="62"/>
        <v>0</v>
      </c>
      <c r="Q132" s="184">
        <f t="shared" si="63"/>
        <v>-1</v>
      </c>
      <c r="R13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3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29535</v>
      </c>
      <c r="T13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32" s="186">
        <f ca="1">IF(Tabla33610673489[[#This Row],[Equity]]&lt;Tabla33610673489[[#This Row],[Equity Peak]],(Tabla33610673489[[#This Row],[Equity Peak]]-Tabla33610673489[[#This Row],[Equity]])/Tabla33610673489[[#This Row],[Equity Peak]],"")</f>
        <v>1.9178082191780823E-2</v>
      </c>
      <c r="V132" s="187">
        <f t="shared" si="64"/>
        <v>0</v>
      </c>
      <c r="W132" s="187">
        <f t="shared" si="65"/>
        <v>0</v>
      </c>
      <c r="X132" s="187">
        <f t="shared" si="66"/>
        <v>-1</v>
      </c>
      <c r="Y132" s="187">
        <f t="shared" si="67"/>
        <v>0</v>
      </c>
      <c r="Z132" s="187">
        <f t="shared" si="68"/>
        <v>0</v>
      </c>
      <c r="AA132" s="183">
        <f t="shared" si="69"/>
        <v>0</v>
      </c>
      <c r="AB132" s="187">
        <f t="shared" si="70"/>
        <v>0</v>
      </c>
      <c r="AC132" s="183">
        <f t="shared" si="71"/>
        <v>0</v>
      </c>
      <c r="AD132" s="188">
        <f t="shared" si="72"/>
        <v>2.0833333335758653E-2</v>
      </c>
      <c r="AE132" s="188">
        <f t="shared" si="73"/>
        <v>0</v>
      </c>
      <c r="AF132" s="188">
        <f t="shared" si="74"/>
        <v>2.0833333335758653E-2</v>
      </c>
      <c r="AG132" s="188">
        <f t="shared" si="75"/>
        <v>0</v>
      </c>
    </row>
    <row r="133" spans="2:33" ht="15" customHeight="1" x14ac:dyDescent="0.15">
      <c r="B133" s="174" t="s">
        <v>19</v>
      </c>
      <c r="C133" s="175" t="s">
        <v>15</v>
      </c>
      <c r="D133" s="176" t="str">
        <f t="shared" si="57"/>
        <v>C</v>
      </c>
      <c r="E133" s="177" t="d">
        <v>2021-06-09T16:44:59.99999979045242400</v>
      </c>
      <c r="F133" s="178" t="s">
        <v>77</v>
      </c>
      <c r="G133" s="179">
        <v>1898.25</v>
      </c>
      <c r="H133" s="179">
        <v>1893.45</v>
      </c>
      <c r="I133" s="180">
        <f t="shared" si="58"/>
        <v>4.7999999999999545</v>
      </c>
      <c r="J133" s="179">
        <v>1921.31</v>
      </c>
      <c r="K133" s="177" t="d">
        <v>2021-06-09T17:03:59.999999734573066125</v>
      </c>
      <c r="L133" s="179">
        <v>1893.45</v>
      </c>
      <c r="M133" s="181">
        <f t="shared" si="59"/>
        <v>-4.8</v>
      </c>
      <c r="N133" s="182">
        <f t="shared" si="60"/>
        <v>-1</v>
      </c>
      <c r="O133" s="183">
        <f t="shared" si="61"/>
        <v>0</v>
      </c>
      <c r="P133" s="184">
        <f t="shared" si="62"/>
        <v>0</v>
      </c>
      <c r="Q133" s="184">
        <f t="shared" si="63"/>
        <v>-1</v>
      </c>
      <c r="R13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3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29785</v>
      </c>
      <c r="T13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33" s="186">
        <f ca="1">IF(Tabla33610673489[[#This Row],[Equity]]&lt;Tabla33610673489[[#This Row],[Equity Peak]],(Tabla33610673489[[#This Row],[Equity Peak]]-Tabla33610673489[[#This Row],[Equity]])/Tabla33610673489[[#This Row],[Equity Peak]],"")</f>
        <v>1.0875882108758821E-2</v>
      </c>
      <c r="V133" s="187">
        <f t="shared" si="64"/>
        <v>0</v>
      </c>
      <c r="W133" s="187">
        <f t="shared" si="65"/>
        <v>0</v>
      </c>
      <c r="X133" s="187">
        <f t="shared" si="66"/>
        <v>-1</v>
      </c>
      <c r="Y133" s="187">
        <f t="shared" si="67"/>
        <v>0</v>
      </c>
      <c r="Z133" s="187">
        <f t="shared" si="68"/>
        <v>0</v>
      </c>
      <c r="AA133" s="183">
        <f t="shared" si="69"/>
        <v>0</v>
      </c>
      <c r="AB133" s="187">
        <f t="shared" si="70"/>
        <v>0</v>
      </c>
      <c r="AC133" s="183">
        <f t="shared" si="71"/>
        <v>0</v>
      </c>
      <c r="AD133" s="188">
        <f t="shared" si="72"/>
        <v>1.3194444443797693E-2</v>
      </c>
      <c r="AE133" s="188">
        <f t="shared" si="73"/>
        <v>0</v>
      </c>
      <c r="AF133" s="188">
        <f t="shared" si="74"/>
        <v>1.3194444443797693E-2</v>
      </c>
      <c r="AG133" s="188">
        <f t="shared" si="75"/>
        <v>0</v>
      </c>
    </row>
    <row r="134" spans="2:33" ht="15" customHeight="1" x14ac:dyDescent="0.15">
      <c r="B134" s="174" t="s">
        <v>19</v>
      </c>
      <c r="C134" s="175" t="s">
        <v>15</v>
      </c>
      <c r="D134" s="176" t="str">
        <f t="shared" si="57"/>
        <v>C</v>
      </c>
      <c r="E134" s="177" t="d">
        <v>2021-06-07T17:29:59.99999979045242400</v>
      </c>
      <c r="F134" s="178" t="s">
        <v>77</v>
      </c>
      <c r="G134" s="179">
        <v>1892.42</v>
      </c>
      <c r="H134" s="179">
        <v>1887.61</v>
      </c>
      <c r="I134" s="180">
        <f t="shared" si="58"/>
        <v>4.8100000000001728</v>
      </c>
      <c r="J134" s="179">
        <v>1915.5</v>
      </c>
      <c r="K134" s="177" t="d">
        <v>2021-06-08T05:00:00.00000020954757600</v>
      </c>
      <c r="L134" s="179">
        <v>1897.8</v>
      </c>
      <c r="M134" s="181">
        <f t="shared" si="59"/>
        <v>5.38</v>
      </c>
      <c r="N134" s="182">
        <f t="shared" si="60"/>
        <v>1.1200000000000001</v>
      </c>
      <c r="O134" s="183">
        <f t="shared" si="61"/>
        <v>0</v>
      </c>
      <c r="P134" s="184">
        <f t="shared" si="62"/>
        <v>1.1200000000000001</v>
      </c>
      <c r="Q134" s="184">
        <f t="shared" si="63"/>
        <v>0</v>
      </c>
      <c r="R13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3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30035</v>
      </c>
      <c r="T13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34" s="186">
        <f ca="1">IF(Tabla33610673489[[#This Row],[Equity]]&lt;Tabla33610673489[[#This Row],[Equity Peak]],(Tabla33610673489[[#This Row],[Equity Peak]]-Tabla33610673489[[#This Row],[Equity]])/Tabla33610673489[[#This Row],[Equity Peak]],"")</f>
        <v>2.5736820257368201E-3</v>
      </c>
      <c r="V134" s="187">
        <f t="shared" si="64"/>
        <v>0</v>
      </c>
      <c r="W134" s="187">
        <f t="shared" si="65"/>
        <v>0</v>
      </c>
      <c r="X134" s="187">
        <f t="shared" si="66"/>
        <v>1.1200000000000001</v>
      </c>
      <c r="Y134" s="187">
        <f t="shared" si="67"/>
        <v>0</v>
      </c>
      <c r="Z134" s="187">
        <f t="shared" si="68"/>
        <v>0</v>
      </c>
      <c r="AA134" s="183">
        <f t="shared" si="69"/>
        <v>0</v>
      </c>
      <c r="AB134" s="187">
        <f t="shared" si="70"/>
        <v>0</v>
      </c>
      <c r="AC134" s="183">
        <f t="shared" si="71"/>
        <v>0</v>
      </c>
      <c r="AD134" s="188">
        <f t="shared" si="72"/>
        <v>0.47916666667151731</v>
      </c>
      <c r="AE134" s="188">
        <f t="shared" si="73"/>
        <v>0.47916666667151731</v>
      </c>
      <c r="AF134" s="188">
        <f t="shared" si="74"/>
        <v>0</v>
      </c>
      <c r="AG134" s="188">
        <f t="shared" si="75"/>
        <v>0</v>
      </c>
    </row>
    <row r="135" spans="2:33" ht="15" customHeight="1" x14ac:dyDescent="0.15">
      <c r="B135" s="174" t="s">
        <v>19</v>
      </c>
      <c r="C135" s="175" t="s">
        <v>15</v>
      </c>
      <c r="D135" s="176" t="str">
        <f t="shared" si="57"/>
        <v>C</v>
      </c>
      <c r="E135" s="177" t="d">
        <v>2021-06-04T15:45:00.000</v>
      </c>
      <c r="F135" s="178" t="s">
        <v>77</v>
      </c>
      <c r="G135" s="179">
        <v>1883.07</v>
      </c>
      <c r="H135" s="179">
        <v>1878.16</v>
      </c>
      <c r="I135" s="180">
        <f t="shared" si="58"/>
        <v>4.9099999999998545</v>
      </c>
      <c r="J135" s="179">
        <v>1906.63</v>
      </c>
      <c r="K135" s="177" t="d">
        <v>2021-06-04T19:54:00.00000029336660775</v>
      </c>
      <c r="L135" s="179">
        <v>1889.25</v>
      </c>
      <c r="M135" s="181">
        <f t="shared" si="59"/>
        <v>6.18</v>
      </c>
      <c r="N135" s="182">
        <f t="shared" si="60"/>
        <v>1.26</v>
      </c>
      <c r="O135" s="183">
        <f t="shared" si="61"/>
        <v>0</v>
      </c>
      <c r="P135" s="184">
        <f t="shared" si="62"/>
        <v>1.26</v>
      </c>
      <c r="Q135" s="184">
        <f t="shared" si="63"/>
        <v>0</v>
      </c>
      <c r="R13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3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29755</v>
      </c>
      <c r="T13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35" s="186">
        <f ca="1">IF(Tabla33610673489[[#This Row],[Equity]]&lt;Tabla33610673489[[#This Row],[Equity Peak]],(Tabla33610673489[[#This Row],[Equity Peak]]-Tabla33610673489[[#This Row],[Equity]])/Tabla33610673489[[#This Row],[Equity Peak]],"")</f>
        <v>1.1872146118721462E-2</v>
      </c>
      <c r="V135" s="187">
        <f t="shared" si="64"/>
        <v>0</v>
      </c>
      <c r="W135" s="187">
        <f t="shared" si="65"/>
        <v>0</v>
      </c>
      <c r="X135" s="187">
        <f t="shared" si="66"/>
        <v>1.26</v>
      </c>
      <c r="Y135" s="187">
        <f t="shared" si="67"/>
        <v>0</v>
      </c>
      <c r="Z135" s="187">
        <f t="shared" si="68"/>
        <v>0</v>
      </c>
      <c r="AA135" s="183">
        <f t="shared" si="69"/>
        <v>0</v>
      </c>
      <c r="AB135" s="187">
        <f t="shared" si="70"/>
        <v>0</v>
      </c>
      <c r="AC135" s="183">
        <f t="shared" si="71"/>
        <v>0</v>
      </c>
      <c r="AD135" s="188">
        <f t="shared" si="72"/>
        <v>0.17291666667006211</v>
      </c>
      <c r="AE135" s="188">
        <f t="shared" si="73"/>
        <v>0.17291666667006211</v>
      </c>
      <c r="AF135" s="188">
        <f t="shared" si="74"/>
        <v>0</v>
      </c>
      <c r="AG135" s="188">
        <f t="shared" si="75"/>
        <v>0</v>
      </c>
    </row>
    <row r="136" spans="2:33" ht="15" customHeight="1" x14ac:dyDescent="0.15">
      <c r="B136" s="174" t="s">
        <v>19</v>
      </c>
      <c r="C136" s="175" t="s">
        <v>15</v>
      </c>
      <c r="D136" s="176" t="str">
        <f t="shared" si="57"/>
        <v>C</v>
      </c>
      <c r="E136" s="177" t="d">
        <v>2021-06-02T15:14:59.99999979045242400</v>
      </c>
      <c r="F136" s="178" t="s">
        <v>77</v>
      </c>
      <c r="G136" s="179">
        <v>1903.91</v>
      </c>
      <c r="H136" s="179">
        <v>1898.98</v>
      </c>
      <c r="I136" s="180">
        <f t="shared" si="58"/>
        <v>4.9300000000000637</v>
      </c>
      <c r="J136" s="179">
        <v>1927.56</v>
      </c>
      <c r="K136" s="177" t="d">
        <v>2021-06-03T09:07:00.00000011175870900</v>
      </c>
      <c r="L136" s="179">
        <v>1899.46</v>
      </c>
      <c r="M136" s="181">
        <f t="shared" si="59"/>
        <v>-4.45</v>
      </c>
      <c r="N136" s="182">
        <f t="shared" si="60"/>
        <v>-0.9</v>
      </c>
      <c r="O136" s="183">
        <f t="shared" si="61"/>
        <v>0</v>
      </c>
      <c r="P136" s="184">
        <f t="shared" si="62"/>
        <v>0</v>
      </c>
      <c r="Q136" s="184">
        <f t="shared" si="63"/>
        <v>-0.9</v>
      </c>
      <c r="R13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3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29440</v>
      </c>
      <c r="T13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36" s="186">
        <f ca="1">IF(Tabla33610673489[[#This Row],[Equity]]&lt;Tabla33610673489[[#This Row],[Equity Peak]],(Tabla33610673489[[#This Row],[Equity Peak]]-Tabla33610673489[[#This Row],[Equity]])/Tabla33610673489[[#This Row],[Equity Peak]],"")</f>
        <v>2.2332918223329182E-2</v>
      </c>
      <c r="V136" s="187">
        <f t="shared" si="64"/>
        <v>0</v>
      </c>
      <c r="W136" s="187">
        <f t="shared" si="65"/>
        <v>0</v>
      </c>
      <c r="X136" s="187">
        <f t="shared" si="66"/>
        <v>-0.9</v>
      </c>
      <c r="Y136" s="187">
        <f t="shared" si="67"/>
        <v>0</v>
      </c>
      <c r="Z136" s="187">
        <f t="shared" si="68"/>
        <v>0</v>
      </c>
      <c r="AA136" s="183">
        <f t="shared" si="69"/>
        <v>0</v>
      </c>
      <c r="AB136" s="187">
        <f t="shared" si="70"/>
        <v>0</v>
      </c>
      <c r="AC136" s="183">
        <f t="shared" si="71"/>
        <v>0</v>
      </c>
      <c r="AD136" s="188">
        <f t="shared" si="72"/>
        <v>0.74444444444816327</v>
      </c>
      <c r="AE136" s="188">
        <f t="shared" si="73"/>
        <v>0</v>
      </c>
      <c r="AF136" s="188">
        <f t="shared" si="74"/>
        <v>0.74444444444816327</v>
      </c>
      <c r="AG136" s="188">
        <f t="shared" si="75"/>
        <v>0</v>
      </c>
    </row>
    <row r="137" spans="2:33" ht="15" customHeight="1" x14ac:dyDescent="0.15">
      <c r="B137" s="174" t="s">
        <v>19</v>
      </c>
      <c r="C137" s="175" t="s">
        <v>15</v>
      </c>
      <c r="D137" s="176" t="str">
        <f t="shared" si="57"/>
        <v>C</v>
      </c>
      <c r="E137" s="177" t="d">
        <v>2021-05-28T20:29:59.99999979045242400</v>
      </c>
      <c r="F137" s="178" t="s">
        <v>77</v>
      </c>
      <c r="G137" s="179">
        <v>1902.74</v>
      </c>
      <c r="H137" s="179">
        <v>1897.57</v>
      </c>
      <c r="I137" s="180">
        <f t="shared" si="58"/>
        <v>5.1700000000000728</v>
      </c>
      <c r="J137" s="179">
        <v>1927.53</v>
      </c>
      <c r="K137" s="177" t="d">
        <v>2021-06-01T11:06:59.99999969266355025</v>
      </c>
      <c r="L137" s="179">
        <v>1911.27</v>
      </c>
      <c r="M137" s="181">
        <f t="shared" si="59"/>
        <v>8.5299999999999994</v>
      </c>
      <c r="N137" s="182">
        <f t="shared" si="60"/>
        <v>1.65</v>
      </c>
      <c r="O137" s="183">
        <f t="shared" si="61"/>
        <v>0</v>
      </c>
      <c r="P137" s="184">
        <f t="shared" si="62"/>
        <v>1.65</v>
      </c>
      <c r="Q137" s="184">
        <f t="shared" si="63"/>
        <v>0</v>
      </c>
      <c r="R13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3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29665</v>
      </c>
      <c r="T13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37" s="186">
        <f ca="1">IF(Tabla33610673489[[#This Row],[Equity]]&lt;Tabla33610673489[[#This Row],[Equity Peak]],(Tabla33610673489[[#This Row],[Equity Peak]]-Tabla33610673489[[#This Row],[Equity]])/Tabla33610673489[[#This Row],[Equity Peak]],"")</f>
        <v>1.4860938148609381E-2</v>
      </c>
      <c r="V137" s="187">
        <f t="shared" si="64"/>
        <v>0</v>
      </c>
      <c r="W137" s="187">
        <f t="shared" si="65"/>
        <v>0</v>
      </c>
      <c r="X137" s="187">
        <f t="shared" si="66"/>
        <v>1.65</v>
      </c>
      <c r="Y137" s="187">
        <f t="shared" si="67"/>
        <v>0</v>
      </c>
      <c r="Z137" s="187">
        <f t="shared" si="68"/>
        <v>0</v>
      </c>
      <c r="AA137" s="183">
        <f t="shared" si="69"/>
        <v>0</v>
      </c>
      <c r="AB137" s="187">
        <f t="shared" si="70"/>
        <v>0</v>
      </c>
      <c r="AC137" s="183">
        <f t="shared" si="71"/>
        <v>0</v>
      </c>
      <c r="AD137" s="188">
        <f t="shared" si="72"/>
        <v>3.609027777776646</v>
      </c>
      <c r="AE137" s="188">
        <f t="shared" si="73"/>
        <v>3.609027777776646</v>
      </c>
      <c r="AF137" s="188">
        <f t="shared" si="74"/>
        <v>0</v>
      </c>
      <c r="AG137" s="188">
        <f t="shared" si="75"/>
        <v>0</v>
      </c>
    </row>
    <row r="138" spans="2:33" ht="15" customHeight="1" x14ac:dyDescent="0.15">
      <c r="B138" s="174" t="s">
        <v>19</v>
      </c>
      <c r="C138" s="175" t="s">
        <v>15</v>
      </c>
      <c r="D138" s="176" t="str">
        <f t="shared" si="57"/>
        <v>C</v>
      </c>
      <c r="E138" s="177" t="d">
        <v>2021-05-25T20:15:00.000</v>
      </c>
      <c r="F138" s="178" t="s">
        <v>77</v>
      </c>
      <c r="G138" s="179">
        <v>1897.04</v>
      </c>
      <c r="H138" s="179">
        <v>1891.4</v>
      </c>
      <c r="I138" s="180">
        <f t="shared" si="58"/>
        <v>5.6399999999998727</v>
      </c>
      <c r="J138" s="179">
        <v>1924.11</v>
      </c>
      <c r="K138" s="177" t="d">
        <v>2021-05-26T12:14:59.99999979045242400</v>
      </c>
      <c r="L138" s="179">
        <v>1904.03</v>
      </c>
      <c r="M138" s="181">
        <f t="shared" si="59"/>
        <v>6.99</v>
      </c>
      <c r="N138" s="182">
        <f t="shared" si="60"/>
        <v>1.24</v>
      </c>
      <c r="O138" s="183">
        <f t="shared" si="61"/>
        <v>0</v>
      </c>
      <c r="P138" s="184">
        <f t="shared" si="62"/>
        <v>1.24</v>
      </c>
      <c r="Q138" s="184">
        <f t="shared" si="63"/>
        <v>0</v>
      </c>
      <c r="R13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3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29252.5</v>
      </c>
      <c r="T13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38" s="186">
        <f ca="1">IF(Tabla33610673489[[#This Row],[Equity]]&lt;Tabla33610673489[[#This Row],[Equity Peak]],(Tabla33610673489[[#This Row],[Equity Peak]]-Tabla33610673489[[#This Row],[Equity]])/Tabla33610673489[[#This Row],[Equity Peak]],"")</f>
        <v>2.8559568285595683E-2</v>
      </c>
      <c r="V138" s="187">
        <f t="shared" si="64"/>
        <v>0</v>
      </c>
      <c r="W138" s="187">
        <f t="shared" si="65"/>
        <v>0</v>
      </c>
      <c r="X138" s="187">
        <f t="shared" si="66"/>
        <v>1.24</v>
      </c>
      <c r="Y138" s="187">
        <f t="shared" si="67"/>
        <v>0</v>
      </c>
      <c r="Z138" s="187">
        <f t="shared" si="68"/>
        <v>0</v>
      </c>
      <c r="AA138" s="183">
        <f t="shared" si="69"/>
        <v>0</v>
      </c>
      <c r="AB138" s="187">
        <f t="shared" si="70"/>
        <v>0</v>
      </c>
      <c r="AC138" s="183">
        <f t="shared" si="71"/>
        <v>0</v>
      </c>
      <c r="AD138" s="188">
        <f t="shared" si="72"/>
        <v>0.66666666666424135</v>
      </c>
      <c r="AE138" s="188">
        <f t="shared" si="73"/>
        <v>0.66666666666424135</v>
      </c>
      <c r="AF138" s="188">
        <f t="shared" si="74"/>
        <v>0</v>
      </c>
      <c r="AG138" s="188">
        <f t="shared" si="75"/>
        <v>0</v>
      </c>
    </row>
    <row r="139" spans="2:33" ht="15" customHeight="1" x14ac:dyDescent="0.15">
      <c r="B139" s="174" t="s">
        <v>19</v>
      </c>
      <c r="C139" s="175" t="s">
        <v>15</v>
      </c>
      <c r="D139" s="176" t="str">
        <f t="shared" si="57"/>
        <v>C</v>
      </c>
      <c r="E139" s="177" t="d">
        <v>2021-05-25T17:15:00.000</v>
      </c>
      <c r="F139" s="178" t="s">
        <v>77</v>
      </c>
      <c r="G139" s="179">
        <v>1894.93</v>
      </c>
      <c r="H139" s="179">
        <v>1889.32</v>
      </c>
      <c r="I139" s="180">
        <f t="shared" si="58"/>
        <v>5.6100000000001273</v>
      </c>
      <c r="J139" s="179">
        <v>1921.84</v>
      </c>
      <c r="K139" s="177" t="d">
        <v>2021-05-25T17:39:00.00000029336660775</v>
      </c>
      <c r="L139" s="179">
        <v>1889.32</v>
      </c>
      <c r="M139" s="181">
        <f t="shared" si="59"/>
        <v>-5.61</v>
      </c>
      <c r="N139" s="182">
        <f t="shared" si="60"/>
        <v>-1</v>
      </c>
      <c r="O139" s="183">
        <f t="shared" si="61"/>
        <v>0</v>
      </c>
      <c r="P139" s="184">
        <f t="shared" si="62"/>
        <v>0</v>
      </c>
      <c r="Q139" s="184">
        <f t="shared" si="63"/>
        <v>-1</v>
      </c>
      <c r="R13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3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28942.5</v>
      </c>
      <c r="T13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39" s="186">
        <f ca="1">IF(Tabla33610673489[[#This Row],[Equity]]&lt;Tabla33610673489[[#This Row],[Equity Peak]],(Tabla33610673489[[#This Row],[Equity Peak]]-Tabla33610673489[[#This Row],[Equity]])/Tabla33610673489[[#This Row],[Equity Peak]],"")</f>
        <v>3.8854296388542965E-2</v>
      </c>
      <c r="V139" s="187">
        <f t="shared" si="64"/>
        <v>0</v>
      </c>
      <c r="W139" s="187">
        <f t="shared" si="65"/>
        <v>0</v>
      </c>
      <c r="X139" s="187">
        <f t="shared" si="66"/>
        <v>-1</v>
      </c>
      <c r="Y139" s="187">
        <f t="shared" si="67"/>
        <v>0</v>
      </c>
      <c r="Z139" s="187">
        <f t="shared" si="68"/>
        <v>0</v>
      </c>
      <c r="AA139" s="183">
        <f t="shared" si="69"/>
        <v>0</v>
      </c>
      <c r="AB139" s="187">
        <f t="shared" si="70"/>
        <v>0</v>
      </c>
      <c r="AC139" s="183">
        <f t="shared" si="71"/>
        <v>0</v>
      </c>
      <c r="AD139" s="188">
        <f t="shared" si="72"/>
        <v>1.6666666670062114E-2</v>
      </c>
      <c r="AE139" s="188">
        <f t="shared" si="73"/>
        <v>0</v>
      </c>
      <c r="AF139" s="188">
        <f t="shared" si="74"/>
        <v>1.6666666670062114E-2</v>
      </c>
      <c r="AG139" s="188">
        <f t="shared" si="75"/>
        <v>0</v>
      </c>
    </row>
    <row r="140" spans="2:33" ht="15" customHeight="1" x14ac:dyDescent="0.15">
      <c r="B140" s="174" t="s">
        <v>19</v>
      </c>
      <c r="C140" s="175" t="s">
        <v>15</v>
      </c>
      <c r="D140" s="176" t="str">
        <f t="shared" si="57"/>
        <v>C</v>
      </c>
      <c r="E140" s="177" t="d">
        <v>2021-05-25T09:45:00.000</v>
      </c>
      <c r="F140" s="178" t="s">
        <v>77</v>
      </c>
      <c r="G140" s="179">
        <v>1885.31</v>
      </c>
      <c r="H140" s="179">
        <v>1879.83</v>
      </c>
      <c r="I140" s="180">
        <f t="shared" si="58"/>
        <v>5.4800000000000182</v>
      </c>
      <c r="J140" s="179">
        <v>1911.6</v>
      </c>
      <c r="K140" s="177" t="d">
        <v>2021-05-25T14:48:00.00000016763806350</v>
      </c>
      <c r="L140" s="179">
        <v>1879.83</v>
      </c>
      <c r="M140" s="181">
        <f t="shared" si="59"/>
        <v>-5.48</v>
      </c>
      <c r="N140" s="182">
        <f t="shared" si="60"/>
        <v>-1</v>
      </c>
      <c r="O140" s="183">
        <f t="shared" si="61"/>
        <v>0</v>
      </c>
      <c r="P140" s="184">
        <f t="shared" si="62"/>
        <v>0</v>
      </c>
      <c r="Q140" s="184">
        <f t="shared" si="63"/>
        <v>-1</v>
      </c>
      <c r="R14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4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29192.5</v>
      </c>
      <c r="T14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40" s="186">
        <f ca="1">IF(Tabla33610673489[[#This Row],[Equity]]&lt;Tabla33610673489[[#This Row],[Equity Peak]],(Tabla33610673489[[#This Row],[Equity Peak]]-Tabla33610673489[[#This Row],[Equity]])/Tabla33610673489[[#This Row],[Equity Peak]],"")</f>
        <v>3.0552096305520964E-2</v>
      </c>
      <c r="V140" s="187">
        <f t="shared" si="64"/>
        <v>0</v>
      </c>
      <c r="W140" s="187">
        <f t="shared" si="65"/>
        <v>0</v>
      </c>
      <c r="X140" s="187">
        <f t="shared" si="66"/>
        <v>-1</v>
      </c>
      <c r="Y140" s="187">
        <f t="shared" si="67"/>
        <v>0</v>
      </c>
      <c r="Z140" s="187">
        <f t="shared" si="68"/>
        <v>0</v>
      </c>
      <c r="AA140" s="183">
        <f t="shared" si="69"/>
        <v>0</v>
      </c>
      <c r="AB140" s="187">
        <f t="shared" si="70"/>
        <v>0</v>
      </c>
      <c r="AC140" s="183">
        <f t="shared" si="71"/>
        <v>0</v>
      </c>
      <c r="AD140" s="188">
        <f t="shared" si="72"/>
        <v>0.21041666666860692</v>
      </c>
      <c r="AE140" s="188">
        <f t="shared" si="73"/>
        <v>0</v>
      </c>
      <c r="AF140" s="188">
        <f t="shared" si="74"/>
        <v>0.21041666666860692</v>
      </c>
      <c r="AG140" s="188">
        <f t="shared" si="75"/>
        <v>0</v>
      </c>
    </row>
    <row r="141" spans="2:33" ht="15" customHeight="1" x14ac:dyDescent="0.15">
      <c r="B141" s="174" t="s">
        <v>19</v>
      </c>
      <c r="C141" s="175" t="s">
        <v>15</v>
      </c>
      <c r="D141" s="176" t="str">
        <f t="shared" si="57"/>
        <v>C</v>
      </c>
      <c r="E141" s="177" t="d">
        <v>2021-05-21T12:45:00.000</v>
      </c>
      <c r="F141" s="178" t="s">
        <v>77</v>
      </c>
      <c r="G141" s="179">
        <v>1880.17</v>
      </c>
      <c r="H141" s="179">
        <v>1874.7</v>
      </c>
      <c r="I141" s="180">
        <f t="shared" si="58"/>
        <v>5.4700000000000273</v>
      </c>
      <c r="J141" s="179">
        <v>1906.42</v>
      </c>
      <c r="K141" s="177" t="d">
        <v>2021-05-21T16:51:59.99999990221113300</v>
      </c>
      <c r="L141" s="179">
        <v>1876.43</v>
      </c>
      <c r="M141" s="181">
        <f t="shared" si="59"/>
        <v>-3.74</v>
      </c>
      <c r="N141" s="182">
        <f t="shared" si="60"/>
        <v>-0.68</v>
      </c>
      <c r="O141" s="183">
        <f t="shared" si="61"/>
        <v>0</v>
      </c>
      <c r="P141" s="184">
        <f t="shared" si="62"/>
        <v>0</v>
      </c>
      <c r="Q141" s="184">
        <f t="shared" si="63"/>
        <v>-0.68</v>
      </c>
      <c r="R14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4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29442.5</v>
      </c>
      <c r="T14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41" s="186">
        <f ca="1">IF(Tabla33610673489[[#This Row],[Equity]]&lt;Tabla33610673489[[#This Row],[Equity Peak]],(Tabla33610673489[[#This Row],[Equity Peak]]-Tabla33610673489[[#This Row],[Equity]])/Tabla33610673489[[#This Row],[Equity Peak]],"")</f>
        <v>2.2249896222498962E-2</v>
      </c>
      <c r="V141" s="187">
        <f t="shared" si="64"/>
        <v>0</v>
      </c>
      <c r="W141" s="187">
        <f t="shared" si="65"/>
        <v>0</v>
      </c>
      <c r="X141" s="187">
        <f t="shared" si="66"/>
        <v>-0.68</v>
      </c>
      <c r="Y141" s="187">
        <f t="shared" si="67"/>
        <v>0</v>
      </c>
      <c r="Z141" s="187">
        <f t="shared" si="68"/>
        <v>0</v>
      </c>
      <c r="AA141" s="183">
        <f t="shared" si="69"/>
        <v>0</v>
      </c>
      <c r="AB141" s="187">
        <f t="shared" si="70"/>
        <v>0</v>
      </c>
      <c r="AC141" s="183">
        <f t="shared" si="71"/>
        <v>0</v>
      </c>
      <c r="AD141" s="188">
        <f t="shared" si="72"/>
        <v>0.17152777777664596</v>
      </c>
      <c r="AE141" s="188">
        <f t="shared" si="73"/>
        <v>0</v>
      </c>
      <c r="AF141" s="188">
        <f t="shared" si="74"/>
        <v>0.17152777777664596</v>
      </c>
      <c r="AG141" s="188">
        <f t="shared" si="75"/>
        <v>0</v>
      </c>
    </row>
    <row r="142" spans="2:33" ht="15" customHeight="1" x14ac:dyDescent="0.15">
      <c r="B142" s="174" t="s">
        <v>19</v>
      </c>
      <c r="C142" s="175" t="s">
        <v>15</v>
      </c>
      <c r="D142" s="176" t="str">
        <f t="shared" si="57"/>
        <v>C</v>
      </c>
      <c r="E142" s="177" t="d">
        <v>2021-05-20T20:00:00.00000020954757600</v>
      </c>
      <c r="F142" s="178" t="s">
        <v>77</v>
      </c>
      <c r="G142" s="179">
        <v>1882.71</v>
      </c>
      <c r="H142" s="179">
        <v>1877.03</v>
      </c>
      <c r="I142" s="180">
        <f t="shared" si="58"/>
        <v>5.6800000000000637</v>
      </c>
      <c r="J142" s="179">
        <v>1909.97</v>
      </c>
      <c r="K142" s="177" t="d">
        <v>2021-05-20T20:54:00.00000008381903175</v>
      </c>
      <c r="L142" s="179">
        <v>1877.03</v>
      </c>
      <c r="M142" s="181">
        <f t="shared" si="59"/>
        <v>-5.68</v>
      </c>
      <c r="N142" s="182">
        <f t="shared" si="60"/>
        <v>-1</v>
      </c>
      <c r="O142" s="183">
        <f t="shared" si="61"/>
        <v>0</v>
      </c>
      <c r="P142" s="184">
        <f t="shared" si="62"/>
        <v>0</v>
      </c>
      <c r="Q142" s="184">
        <f t="shared" si="63"/>
        <v>-1</v>
      </c>
      <c r="R14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4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29612.5</v>
      </c>
      <c r="T14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42" s="186">
        <f ca="1">IF(Tabla33610673489[[#This Row],[Equity]]&lt;Tabla33610673489[[#This Row],[Equity Peak]],(Tabla33610673489[[#This Row],[Equity Peak]]-Tabla33610673489[[#This Row],[Equity]])/Tabla33610673489[[#This Row],[Equity Peak]],"")</f>
        <v>1.6604400166044003E-2</v>
      </c>
      <c r="V142" s="187">
        <f t="shared" si="64"/>
        <v>0</v>
      </c>
      <c r="W142" s="187">
        <f t="shared" si="65"/>
        <v>0</v>
      </c>
      <c r="X142" s="187">
        <f t="shared" si="66"/>
        <v>-1</v>
      </c>
      <c r="Y142" s="187">
        <f t="shared" si="67"/>
        <v>0</v>
      </c>
      <c r="Z142" s="187">
        <f t="shared" si="68"/>
        <v>0</v>
      </c>
      <c r="AA142" s="183">
        <f t="shared" si="69"/>
        <v>0</v>
      </c>
      <c r="AB142" s="187">
        <f t="shared" si="70"/>
        <v>0</v>
      </c>
      <c r="AC142" s="183">
        <f t="shared" si="71"/>
        <v>0</v>
      </c>
      <c r="AD142" s="188">
        <f t="shared" si="72"/>
        <v>3.7499999998544808E-2</v>
      </c>
      <c r="AE142" s="188">
        <f t="shared" si="73"/>
        <v>0</v>
      </c>
      <c r="AF142" s="188">
        <f t="shared" si="74"/>
        <v>3.7499999998544808E-2</v>
      </c>
      <c r="AG142" s="188">
        <f t="shared" si="75"/>
        <v>0</v>
      </c>
    </row>
    <row r="143" spans="2:33" ht="15" customHeight="1" x14ac:dyDescent="0.15">
      <c r="B143" s="174" t="s">
        <v>19</v>
      </c>
      <c r="C143" s="175" t="s">
        <v>15</v>
      </c>
      <c r="D143" s="176" t="str">
        <f t="shared" si="57"/>
        <v>C</v>
      </c>
      <c r="E143" s="177" t="d">
        <v>2021-05-19T16:44:59.99999979045242400</v>
      </c>
      <c r="F143" s="178" t="s">
        <v>77</v>
      </c>
      <c r="G143" s="179">
        <v>1885.9</v>
      </c>
      <c r="H143" s="179">
        <v>1880.35</v>
      </c>
      <c r="I143" s="180">
        <f t="shared" si="58"/>
        <v>5.5500000000001819</v>
      </c>
      <c r="J143" s="179">
        <v>1912.56</v>
      </c>
      <c r="K143" s="177" t="d">
        <v>2021-05-19T17:22:00.00000011175870900</v>
      </c>
      <c r="L143" s="179">
        <v>1880.35</v>
      </c>
      <c r="M143" s="181">
        <f t="shared" si="59"/>
        <v>-5.55</v>
      </c>
      <c r="N143" s="182">
        <f t="shared" si="60"/>
        <v>-1</v>
      </c>
      <c r="O143" s="183">
        <f t="shared" si="61"/>
        <v>0</v>
      </c>
      <c r="P143" s="184">
        <f t="shared" si="62"/>
        <v>0</v>
      </c>
      <c r="Q143" s="184">
        <f t="shared" si="63"/>
        <v>-1</v>
      </c>
      <c r="R14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4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29862.5</v>
      </c>
      <c r="T14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43" s="186">
        <f ca="1">IF(Tabla33610673489[[#This Row],[Equity]]&lt;Tabla33610673489[[#This Row],[Equity Peak]],(Tabla33610673489[[#This Row],[Equity Peak]]-Tabla33610673489[[#This Row],[Equity]])/Tabla33610673489[[#This Row],[Equity Peak]],"")</f>
        <v>8.3022000830220016E-3</v>
      </c>
      <c r="V143" s="187">
        <f t="shared" si="64"/>
        <v>0</v>
      </c>
      <c r="W143" s="187">
        <f t="shared" si="65"/>
        <v>0</v>
      </c>
      <c r="X143" s="187">
        <f t="shared" si="66"/>
        <v>-1</v>
      </c>
      <c r="Y143" s="187">
        <f t="shared" si="67"/>
        <v>0</v>
      </c>
      <c r="Z143" s="187">
        <f t="shared" si="68"/>
        <v>0</v>
      </c>
      <c r="AA143" s="183">
        <f t="shared" si="69"/>
        <v>0</v>
      </c>
      <c r="AB143" s="187">
        <f t="shared" si="70"/>
        <v>0</v>
      </c>
      <c r="AC143" s="183">
        <f t="shared" si="71"/>
        <v>0</v>
      </c>
      <c r="AD143" s="188">
        <f t="shared" si="72"/>
        <v>2.5694444448163267E-2</v>
      </c>
      <c r="AE143" s="188">
        <f t="shared" si="73"/>
        <v>0</v>
      </c>
      <c r="AF143" s="188">
        <f t="shared" si="74"/>
        <v>2.5694444448163267E-2</v>
      </c>
      <c r="AG143" s="188">
        <f t="shared" si="75"/>
        <v>0</v>
      </c>
    </row>
    <row r="144" spans="2:33" ht="15" customHeight="1" x14ac:dyDescent="0.15">
      <c r="B144" s="174" t="s">
        <v>19</v>
      </c>
      <c r="C144" s="175" t="s">
        <v>15</v>
      </c>
      <c r="D144" s="176" t="str">
        <f t="shared" si="57"/>
        <v>C</v>
      </c>
      <c r="E144" s="177" t="d">
        <v>2021-05-13T18:00:00.000</v>
      </c>
      <c r="F144" s="178" t="s">
        <v>77</v>
      </c>
      <c r="G144" s="179">
        <v>1824.17</v>
      </c>
      <c r="H144" s="179">
        <v>1818.24</v>
      </c>
      <c r="I144" s="180">
        <f t="shared" si="58"/>
        <v>5.9300000000000637</v>
      </c>
      <c r="J144" s="179">
        <v>1852.61</v>
      </c>
      <c r="K144" s="177" t="d">
        <v>2021-05-17T04:24:00.00000008381903175</v>
      </c>
      <c r="L144" s="179">
        <v>1852.61</v>
      </c>
      <c r="M144" s="181">
        <f t="shared" si="59"/>
        <v>28.44</v>
      </c>
      <c r="N144" s="182">
        <f t="shared" si="60"/>
        <v>4.8</v>
      </c>
      <c r="O144" s="183">
        <f t="shared" si="61"/>
        <v>0</v>
      </c>
      <c r="P144" s="184">
        <f t="shared" si="62"/>
        <v>4.8</v>
      </c>
      <c r="Q144" s="184">
        <f t="shared" si="63"/>
        <v>0</v>
      </c>
      <c r="R14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4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30112.5</v>
      </c>
      <c r="T14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30112.5</v>
      </c>
      <c r="U144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44" s="187">
        <f t="shared" si="64"/>
        <v>0</v>
      </c>
      <c r="W144" s="187">
        <f t="shared" si="65"/>
        <v>0</v>
      </c>
      <c r="X144" s="187">
        <f t="shared" si="66"/>
        <v>4.8</v>
      </c>
      <c r="Y144" s="187">
        <f t="shared" si="67"/>
        <v>0</v>
      </c>
      <c r="Z144" s="187">
        <f t="shared" si="68"/>
        <v>0</v>
      </c>
      <c r="AA144" s="183">
        <f t="shared" si="69"/>
        <v>0</v>
      </c>
      <c r="AB144" s="187">
        <f t="shared" si="70"/>
        <v>0</v>
      </c>
      <c r="AC144" s="183">
        <f t="shared" si="71"/>
        <v>0</v>
      </c>
      <c r="AD144" s="188">
        <f t="shared" si="72"/>
        <v>3.4333333333343035</v>
      </c>
      <c r="AE144" s="188">
        <f t="shared" si="73"/>
        <v>3.4333333333343035</v>
      </c>
      <c r="AF144" s="188">
        <f t="shared" si="74"/>
        <v>0</v>
      </c>
      <c r="AG144" s="188">
        <f t="shared" si="75"/>
        <v>0</v>
      </c>
    </row>
    <row r="145" spans="2:33" ht="15" customHeight="1" x14ac:dyDescent="0.15">
      <c r="B145" s="174" t="s">
        <v>19</v>
      </c>
      <c r="C145" s="175" t="s">
        <v>15</v>
      </c>
      <c r="D145" s="176" t="str">
        <f t="shared" ref="D145:D176" si="76">IF(E145&lt;&gt;"",IF(K145&lt;&gt;"","C","O"),"")</f>
        <v>C</v>
      </c>
      <c r="E145" s="177" t="d">
        <v>2021-05-12T15:59:59.99999979045242400</v>
      </c>
      <c r="F145" s="178" t="s">
        <v>77</v>
      </c>
      <c r="G145" s="179">
        <v>1839.97</v>
      </c>
      <c r="H145" s="179">
        <v>1834.54</v>
      </c>
      <c r="I145" s="180">
        <f t="shared" ref="I145:I176" si="77">ABS(G145-H145)</f>
        <v>5.4300000000000637</v>
      </c>
      <c r="J145" s="179">
        <v>1866.03</v>
      </c>
      <c r="K145" s="177" t="d">
        <v>2021-05-12T16:21:00.00000012572854425</v>
      </c>
      <c r="L145" s="179">
        <v>1834.54</v>
      </c>
      <c r="M145" s="181">
        <f t="shared" ref="M145:M176" si="78">ROUND(IF(C145="L",(L145-G145),(G145-L145)),4)</f>
        <v>-5.43</v>
      </c>
      <c r="N145" s="182">
        <f t="shared" ref="N145:N176" si="79">IFERROR(ROUND((M145/I145),2),"")</f>
        <v>-1</v>
      </c>
      <c r="O145" s="183">
        <f t="shared" ref="O145:O176" si="80">IF(D145="O",IF(N145&lt;0,N145,0),0)</f>
        <v>0</v>
      </c>
      <c r="P145" s="184">
        <f t="shared" ref="P145:P176" si="81">IF(N145&gt;= 0,N145,0)</f>
        <v>0</v>
      </c>
      <c r="Q145" s="184">
        <f t="shared" ref="Q145:Q176" si="82">IF(N145&lt;0,N145,0)</f>
        <v>-1</v>
      </c>
      <c r="R14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4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28912.5</v>
      </c>
      <c r="T14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29162.5</v>
      </c>
      <c r="U145" s="186">
        <f ca="1">IF(Tabla33610673489[[#This Row],[Equity]]&lt;Tabla33610673489[[#This Row],[Equity Peak]],(Tabla33610673489[[#This Row],[Equity Peak]]-Tabla33610673489[[#This Row],[Equity]])/Tabla33610673489[[#This Row],[Equity Peak]],"")</f>
        <v>8.5726532361765969E-3</v>
      </c>
      <c r="V145" s="187">
        <f t="shared" ref="V145:V176" si="83">IF(B145="FX",N145,0)</f>
        <v>0</v>
      </c>
      <c r="W145" s="187">
        <f t="shared" ref="W145:W176" si="84">IF(D145="O",IF(V145&lt;0,V145,0),0)</f>
        <v>0</v>
      </c>
      <c r="X145" s="187">
        <f t="shared" ref="X145:X176" si="85">IF(B145="COM",N145,0)</f>
        <v>-1</v>
      </c>
      <c r="Y145" s="187">
        <f t="shared" ref="Y145:Y176" si="86">IF(D145="O",IF(X145&lt;0,X145,0),0)</f>
        <v>0</v>
      </c>
      <c r="Z145" s="187">
        <f t="shared" ref="Z145:Z176" si="87">IF(B145="IND",N145,0)</f>
        <v>0</v>
      </c>
      <c r="AA145" s="183">
        <f t="shared" ref="AA145:AA176" si="88">IF(D145="O",IF(Z145&lt;0,Z145,0),0)</f>
        <v>0</v>
      </c>
      <c r="AB145" s="187">
        <f t="shared" ref="AB145:AB176" si="89">IF(B145="CRYPTO",N145,0)</f>
        <v>0</v>
      </c>
      <c r="AC145" s="183">
        <f t="shared" ref="AC145:AC176" si="90">IF(D145="O",IF(AB145&lt;0,AB145,0),0)</f>
        <v>0</v>
      </c>
      <c r="AD145" s="188">
        <f t="shared" ref="AD145:AD176" si="91">IF(K145&lt;&gt;"",K145-E145,0)</f>
        <v>1.4583333337213844E-2</v>
      </c>
      <c r="AE145" s="188">
        <f t="shared" ref="AE145:AE176" si="92">IF(N145&gt;0,AD145,0)</f>
        <v>0</v>
      </c>
      <c r="AF145" s="188">
        <f t="shared" ref="AF145:AF176" si="93">IF(N145&lt;0,AD145,0)</f>
        <v>1.4583333337213844E-2</v>
      </c>
      <c r="AG145" s="188">
        <f t="shared" ref="AG145:AG176" si="94">IF(N145=0,AD145,0)</f>
        <v>0</v>
      </c>
    </row>
    <row r="146" spans="2:33" ht="15" customHeight="1" x14ac:dyDescent="0.15">
      <c r="B146" s="174" t="s">
        <v>19</v>
      </c>
      <c r="C146" s="175" t="s">
        <v>15</v>
      </c>
      <c r="D146" s="176" t="str">
        <f t="shared" si="76"/>
        <v>C</v>
      </c>
      <c r="E146" s="177" t="d">
        <v>2021-05-05T23:00:00.00000020954757600</v>
      </c>
      <c r="F146" s="178" t="s">
        <v>77</v>
      </c>
      <c r="G146" s="179">
        <v>1786.26</v>
      </c>
      <c r="H146" s="179">
        <v>1781.15</v>
      </c>
      <c r="I146" s="180">
        <f t="shared" si="77"/>
        <v>5.1099999999999</v>
      </c>
      <c r="J146" s="179">
        <v>1810.79</v>
      </c>
      <c r="K146" s="177" t="d">
        <v>2021-05-06T16:51:59.99999990221113300</v>
      </c>
      <c r="L146" s="179">
        <v>1810.79</v>
      </c>
      <c r="M146" s="181">
        <f t="shared" si="78"/>
        <v>24.53</v>
      </c>
      <c r="N146" s="182">
        <f t="shared" si="79"/>
        <v>4.8</v>
      </c>
      <c r="O146" s="183">
        <f t="shared" si="80"/>
        <v>0</v>
      </c>
      <c r="P146" s="184">
        <f t="shared" si="81"/>
        <v>4.8</v>
      </c>
      <c r="Q146" s="184">
        <f t="shared" si="82"/>
        <v>0</v>
      </c>
      <c r="R14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4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29162.5</v>
      </c>
      <c r="T14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29162.5</v>
      </c>
      <c r="U146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46" s="187">
        <f t="shared" si="83"/>
        <v>0</v>
      </c>
      <c r="W146" s="187">
        <f t="shared" si="84"/>
        <v>0</v>
      </c>
      <c r="X146" s="187">
        <f t="shared" si="85"/>
        <v>4.8</v>
      </c>
      <c r="Y146" s="187">
        <f t="shared" si="86"/>
        <v>0</v>
      </c>
      <c r="Z146" s="187">
        <f t="shared" si="87"/>
        <v>0</v>
      </c>
      <c r="AA146" s="183">
        <f t="shared" si="88"/>
        <v>0</v>
      </c>
      <c r="AB146" s="187">
        <f t="shared" si="89"/>
        <v>0</v>
      </c>
      <c r="AC146" s="183">
        <f t="shared" si="90"/>
        <v>0</v>
      </c>
      <c r="AD146" s="188">
        <f t="shared" si="91"/>
        <v>0.74444444444088731</v>
      </c>
      <c r="AE146" s="188">
        <f t="shared" si="92"/>
        <v>0.74444444444088731</v>
      </c>
      <c r="AF146" s="188">
        <f t="shared" si="93"/>
        <v>0</v>
      </c>
      <c r="AG146" s="188">
        <f t="shared" si="94"/>
        <v>0</v>
      </c>
    </row>
    <row r="147" spans="2:33" ht="15" customHeight="1" x14ac:dyDescent="0.15">
      <c r="B147" s="174" t="s">
        <v>19</v>
      </c>
      <c r="C147" s="175" t="s">
        <v>15</v>
      </c>
      <c r="D147" s="176" t="str">
        <f t="shared" si="76"/>
        <v>C</v>
      </c>
      <c r="E147" s="177" t="d">
        <v>2021-05-03T05:15:00.000</v>
      </c>
      <c r="F147" s="178" t="s">
        <v>77</v>
      </c>
      <c r="G147" s="179">
        <v>1772.78</v>
      </c>
      <c r="H147" s="179">
        <v>1768.02</v>
      </c>
      <c r="I147" s="180">
        <f t="shared" si="77"/>
        <v>4.7599999999999909</v>
      </c>
      <c r="J147" s="179">
        <v>1795.61</v>
      </c>
      <c r="K147" s="177" t="d">
        <v>2021-05-03T17:07:59.99999988824129100</v>
      </c>
      <c r="L147" s="179">
        <v>1795.61</v>
      </c>
      <c r="M147" s="181">
        <f t="shared" si="78"/>
        <v>22.83</v>
      </c>
      <c r="N147" s="182">
        <f t="shared" si="79"/>
        <v>4.8</v>
      </c>
      <c r="O147" s="183">
        <f t="shared" si="80"/>
        <v>0</v>
      </c>
      <c r="P147" s="184">
        <f t="shared" si="81"/>
        <v>4.8</v>
      </c>
      <c r="Q147" s="184">
        <f t="shared" si="82"/>
        <v>0</v>
      </c>
      <c r="R14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4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27962.5</v>
      </c>
      <c r="T14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27962.5</v>
      </c>
      <c r="U147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47" s="187">
        <f t="shared" si="83"/>
        <v>0</v>
      </c>
      <c r="W147" s="187">
        <f t="shared" si="84"/>
        <v>0</v>
      </c>
      <c r="X147" s="187">
        <f t="shared" si="85"/>
        <v>4.8</v>
      </c>
      <c r="Y147" s="187">
        <f t="shared" si="86"/>
        <v>0</v>
      </c>
      <c r="Z147" s="187">
        <f t="shared" si="87"/>
        <v>0</v>
      </c>
      <c r="AA147" s="183">
        <f t="shared" si="88"/>
        <v>0</v>
      </c>
      <c r="AB147" s="187">
        <f t="shared" si="89"/>
        <v>0</v>
      </c>
      <c r="AC147" s="183">
        <f t="shared" si="90"/>
        <v>0</v>
      </c>
      <c r="AD147" s="188">
        <f t="shared" si="91"/>
        <v>0.49513888888759539</v>
      </c>
      <c r="AE147" s="188">
        <f t="shared" si="92"/>
        <v>0.49513888888759539</v>
      </c>
      <c r="AF147" s="188">
        <f t="shared" si="93"/>
        <v>0</v>
      </c>
      <c r="AG147" s="188">
        <f t="shared" si="94"/>
        <v>0</v>
      </c>
    </row>
    <row r="148" spans="2:33" ht="15" customHeight="1" x14ac:dyDescent="0.15">
      <c r="B148" s="174" t="s">
        <v>19</v>
      </c>
      <c r="C148" s="175" t="s">
        <v>15</v>
      </c>
      <c r="D148" s="176" t="str">
        <f t="shared" si="76"/>
        <v>C</v>
      </c>
      <c r="E148" s="177" t="d">
        <v>2021-04-28T17:00:00.00000020954757600</v>
      </c>
      <c r="F148" s="178" t="s">
        <v>77</v>
      </c>
      <c r="G148" s="179">
        <v>1773.86</v>
      </c>
      <c r="H148" s="179">
        <v>1768.96</v>
      </c>
      <c r="I148" s="180">
        <f t="shared" si="77"/>
        <v>4.8999999999998636</v>
      </c>
      <c r="J148" s="179">
        <v>1797.4</v>
      </c>
      <c r="K148" s="177" t="d">
        <v>2021-04-29T06:53:59.99999987427145575</v>
      </c>
      <c r="L148" s="179">
        <v>1784.72</v>
      </c>
      <c r="M148" s="181">
        <f t="shared" si="78"/>
        <v>10.86</v>
      </c>
      <c r="N148" s="182">
        <f t="shared" si="79"/>
        <v>2.2200000000000002</v>
      </c>
      <c r="O148" s="183">
        <f t="shared" si="80"/>
        <v>0</v>
      </c>
      <c r="P148" s="184">
        <f t="shared" si="81"/>
        <v>2.2200000000000002</v>
      </c>
      <c r="Q148" s="184">
        <f t="shared" si="82"/>
        <v>0</v>
      </c>
      <c r="R14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4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26762.5</v>
      </c>
      <c r="T14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26957.5</v>
      </c>
      <c r="U148" s="186">
        <f ca="1">IF(Tabla33610673489[[#This Row],[Equity]]&lt;Tabla33610673489[[#This Row],[Equity Peak]],(Tabla33610673489[[#This Row],[Equity Peak]]-Tabla33610673489[[#This Row],[Equity]])/Tabla33610673489[[#This Row],[Equity Peak]],"")</f>
        <v>7.2336084577575817E-3</v>
      </c>
      <c r="V148" s="187">
        <f t="shared" si="83"/>
        <v>0</v>
      </c>
      <c r="W148" s="187">
        <f t="shared" si="84"/>
        <v>0</v>
      </c>
      <c r="X148" s="187">
        <f t="shared" si="85"/>
        <v>2.2200000000000002</v>
      </c>
      <c r="Y148" s="187">
        <f t="shared" si="86"/>
        <v>0</v>
      </c>
      <c r="Z148" s="187">
        <f t="shared" si="87"/>
        <v>0</v>
      </c>
      <c r="AA148" s="183">
        <f t="shared" si="88"/>
        <v>0</v>
      </c>
      <c r="AB148" s="187">
        <f t="shared" si="89"/>
        <v>0</v>
      </c>
      <c r="AC148" s="183">
        <f t="shared" si="90"/>
        <v>0</v>
      </c>
      <c r="AD148" s="188">
        <f t="shared" si="91"/>
        <v>0.57916666666278616</v>
      </c>
      <c r="AE148" s="188">
        <f t="shared" si="92"/>
        <v>0.57916666666278616</v>
      </c>
      <c r="AF148" s="188">
        <f t="shared" si="93"/>
        <v>0</v>
      </c>
      <c r="AG148" s="188">
        <f t="shared" si="94"/>
        <v>0</v>
      </c>
    </row>
    <row r="149" spans="2:33" ht="15" customHeight="1" x14ac:dyDescent="0.15">
      <c r="B149" s="174" t="s">
        <v>19</v>
      </c>
      <c r="C149" s="175" t="s">
        <v>15</v>
      </c>
      <c r="D149" s="176" t="str">
        <f t="shared" si="76"/>
        <v>C</v>
      </c>
      <c r="E149" s="177" t="d">
        <v>2021-04-27T15:30:00.00000020954757600</v>
      </c>
      <c r="F149" s="178" t="s">
        <v>77</v>
      </c>
      <c r="G149" s="179">
        <v>1784.97</v>
      </c>
      <c r="H149" s="179">
        <v>1779.91</v>
      </c>
      <c r="I149" s="180">
        <f t="shared" si="77"/>
        <v>5.0599999999999454</v>
      </c>
      <c r="J149" s="179">
        <v>1809.27</v>
      </c>
      <c r="K149" s="177" t="d">
        <v>2021-04-27T16:37:00.00000011175870900</v>
      </c>
      <c r="L149" s="179">
        <v>1779.91</v>
      </c>
      <c r="M149" s="181">
        <f t="shared" si="78"/>
        <v>-5.0599999999999996</v>
      </c>
      <c r="N149" s="182">
        <f t="shared" si="79"/>
        <v>-1</v>
      </c>
      <c r="O149" s="183">
        <f t="shared" si="80"/>
        <v>0</v>
      </c>
      <c r="P149" s="184">
        <f t="shared" si="81"/>
        <v>0</v>
      </c>
      <c r="Q149" s="184">
        <f t="shared" si="82"/>
        <v>-1</v>
      </c>
      <c r="R14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4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26207.5</v>
      </c>
      <c r="T14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26957.5</v>
      </c>
      <c r="U149" s="186">
        <f ca="1">IF(Tabla33610673489[[#This Row],[Equity]]&lt;Tabla33610673489[[#This Row],[Equity Peak]],(Tabla33610673489[[#This Row],[Equity Peak]]-Tabla33610673489[[#This Row],[Equity]])/Tabla33610673489[[#This Row],[Equity Peak]],"")</f>
        <v>2.7821570991375312E-2</v>
      </c>
      <c r="V149" s="187">
        <f t="shared" si="83"/>
        <v>0</v>
      </c>
      <c r="W149" s="187">
        <f t="shared" si="84"/>
        <v>0</v>
      </c>
      <c r="X149" s="187">
        <f t="shared" si="85"/>
        <v>-1</v>
      </c>
      <c r="Y149" s="187">
        <f t="shared" si="86"/>
        <v>0</v>
      </c>
      <c r="Z149" s="187">
        <f t="shared" si="87"/>
        <v>0</v>
      </c>
      <c r="AA149" s="183">
        <f t="shared" si="88"/>
        <v>0</v>
      </c>
      <c r="AB149" s="187">
        <f t="shared" si="89"/>
        <v>0</v>
      </c>
      <c r="AC149" s="183">
        <f t="shared" si="90"/>
        <v>0</v>
      </c>
      <c r="AD149" s="188">
        <f t="shared" si="91"/>
        <v>4.6527777776645962E-2</v>
      </c>
      <c r="AE149" s="188">
        <f t="shared" si="92"/>
        <v>0</v>
      </c>
      <c r="AF149" s="188">
        <f t="shared" si="93"/>
        <v>4.6527777776645962E-2</v>
      </c>
      <c r="AG149" s="188">
        <f t="shared" si="94"/>
        <v>0</v>
      </c>
    </row>
    <row r="150" spans="2:33" ht="15" customHeight="1" x14ac:dyDescent="0.15">
      <c r="B150" s="174" t="s">
        <v>19</v>
      </c>
      <c r="C150" s="175" t="s">
        <v>15</v>
      </c>
      <c r="D150" s="176" t="str">
        <f t="shared" si="76"/>
        <v>C</v>
      </c>
      <c r="E150" s="177" t="d">
        <v>2021-04-23T15:00:00.000</v>
      </c>
      <c r="F150" s="178" t="s">
        <v>77</v>
      </c>
      <c r="G150" s="179">
        <v>1791.24</v>
      </c>
      <c r="H150" s="179">
        <v>1785.96</v>
      </c>
      <c r="I150" s="180">
        <f t="shared" si="77"/>
        <v>5.2799999999999727</v>
      </c>
      <c r="J150" s="179">
        <v>1816.57</v>
      </c>
      <c r="K150" s="177" t="d">
        <v>2021-04-23T16:38:59.99999987427145575</v>
      </c>
      <c r="L150" s="179">
        <v>1785.96</v>
      </c>
      <c r="M150" s="181">
        <f t="shared" si="78"/>
        <v>-5.28</v>
      </c>
      <c r="N150" s="182">
        <f t="shared" si="79"/>
        <v>-1</v>
      </c>
      <c r="O150" s="183">
        <f t="shared" si="80"/>
        <v>0</v>
      </c>
      <c r="P150" s="184">
        <f t="shared" si="81"/>
        <v>0</v>
      </c>
      <c r="Q150" s="184">
        <f t="shared" si="82"/>
        <v>-1</v>
      </c>
      <c r="R15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5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26457.5</v>
      </c>
      <c r="T15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26957.5</v>
      </c>
      <c r="U150" s="186">
        <f ca="1">IF(Tabla33610673489[[#This Row],[Equity]]&lt;Tabla33610673489[[#This Row],[Equity Peak]],(Tabla33610673489[[#This Row],[Equity Peak]]-Tabla33610673489[[#This Row],[Equity]])/Tabla33610673489[[#This Row],[Equity Peak]],"")</f>
        <v>1.854771399425021E-2</v>
      </c>
      <c r="V150" s="187">
        <f t="shared" si="83"/>
        <v>0</v>
      </c>
      <c r="W150" s="187">
        <f t="shared" si="84"/>
        <v>0</v>
      </c>
      <c r="X150" s="187">
        <f t="shared" si="85"/>
        <v>-1</v>
      </c>
      <c r="Y150" s="187">
        <f t="shared" si="86"/>
        <v>0</v>
      </c>
      <c r="Z150" s="187">
        <f t="shared" si="87"/>
        <v>0</v>
      </c>
      <c r="AA150" s="183">
        <f t="shared" si="88"/>
        <v>0</v>
      </c>
      <c r="AB150" s="187">
        <f t="shared" si="89"/>
        <v>0</v>
      </c>
      <c r="AC150" s="183">
        <f t="shared" si="90"/>
        <v>0</v>
      </c>
      <c r="AD150" s="188">
        <f t="shared" si="91"/>
        <v>6.8749999998544808E-2</v>
      </c>
      <c r="AE150" s="188">
        <f t="shared" si="92"/>
        <v>0</v>
      </c>
      <c r="AF150" s="188">
        <f t="shared" si="93"/>
        <v>6.8749999998544808E-2</v>
      </c>
      <c r="AG150" s="188">
        <f t="shared" si="94"/>
        <v>0</v>
      </c>
    </row>
    <row r="151" spans="2:33" ht="15" customHeight="1" x14ac:dyDescent="0.15">
      <c r="B151" s="174" t="s">
        <v>19</v>
      </c>
      <c r="C151" s="175" t="s">
        <v>15</v>
      </c>
      <c r="D151" s="176" t="str">
        <f t="shared" si="76"/>
        <v>C</v>
      </c>
      <c r="E151" s="177" t="d">
        <v>2021-04-23T04:44:59.99999979045242400</v>
      </c>
      <c r="F151" s="178" t="s">
        <v>77</v>
      </c>
      <c r="G151" s="179">
        <v>1789.48</v>
      </c>
      <c r="H151" s="179">
        <v>1784.29</v>
      </c>
      <c r="I151" s="180">
        <f t="shared" si="77"/>
        <v>5.1900000000000546</v>
      </c>
      <c r="J151" s="179">
        <v>1814.37</v>
      </c>
      <c r="K151" s="177" t="d">
        <v>2021-04-23T07:38:59.99999987427145575</v>
      </c>
      <c r="L151" s="179">
        <v>1784.29</v>
      </c>
      <c r="M151" s="181">
        <f t="shared" si="78"/>
        <v>-5.19</v>
      </c>
      <c r="N151" s="182">
        <f t="shared" si="79"/>
        <v>-1</v>
      </c>
      <c r="O151" s="183">
        <f t="shared" si="80"/>
        <v>0</v>
      </c>
      <c r="P151" s="184">
        <f t="shared" si="81"/>
        <v>0</v>
      </c>
      <c r="Q151" s="184">
        <f t="shared" si="82"/>
        <v>-1</v>
      </c>
      <c r="R15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5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26707.5</v>
      </c>
      <c r="T15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26957.5</v>
      </c>
      <c r="U151" s="186">
        <f ca="1">IF(Tabla33610673489[[#This Row],[Equity]]&lt;Tabla33610673489[[#This Row],[Equity Peak]],(Tabla33610673489[[#This Row],[Equity Peak]]-Tabla33610673489[[#This Row],[Equity]])/Tabla33610673489[[#This Row],[Equity Peak]],"")</f>
        <v>9.2738569971251052E-3</v>
      </c>
      <c r="V151" s="187">
        <f t="shared" si="83"/>
        <v>0</v>
      </c>
      <c r="W151" s="187">
        <f t="shared" si="84"/>
        <v>0</v>
      </c>
      <c r="X151" s="187">
        <f t="shared" si="85"/>
        <v>-1</v>
      </c>
      <c r="Y151" s="187">
        <f t="shared" si="86"/>
        <v>0</v>
      </c>
      <c r="Z151" s="187">
        <f t="shared" si="87"/>
        <v>0</v>
      </c>
      <c r="AA151" s="183">
        <f t="shared" si="88"/>
        <v>0</v>
      </c>
      <c r="AB151" s="187">
        <f t="shared" si="89"/>
        <v>0</v>
      </c>
      <c r="AC151" s="183">
        <f t="shared" si="90"/>
        <v>0</v>
      </c>
      <c r="AD151" s="188">
        <f t="shared" si="91"/>
        <v>0.12083333333430346</v>
      </c>
      <c r="AE151" s="188">
        <f t="shared" si="92"/>
        <v>0</v>
      </c>
      <c r="AF151" s="188">
        <f t="shared" si="93"/>
        <v>0.12083333333430346</v>
      </c>
      <c r="AG151" s="188">
        <f t="shared" si="94"/>
        <v>0</v>
      </c>
    </row>
    <row r="152" spans="2:33" ht="15" customHeight="1" x14ac:dyDescent="0.15">
      <c r="B152" s="174" t="s">
        <v>19</v>
      </c>
      <c r="C152" s="175" t="s">
        <v>15</v>
      </c>
      <c r="D152" s="176" t="str">
        <f t="shared" si="76"/>
        <v>C</v>
      </c>
      <c r="E152" s="177" t="d">
        <v>2021-04-20T17:15:00.000</v>
      </c>
      <c r="F152" s="178" t="s">
        <v>77</v>
      </c>
      <c r="G152" s="179">
        <v>1776.31</v>
      </c>
      <c r="H152" s="179">
        <v>1771.1</v>
      </c>
      <c r="I152" s="180">
        <f t="shared" si="77"/>
        <v>5.2100000000000364</v>
      </c>
      <c r="J152" s="179">
        <v>1801.34</v>
      </c>
      <c r="K152" s="177" t="d">
        <v>2021-04-21T10:37:00.00000011175870900</v>
      </c>
      <c r="L152" s="179">
        <v>1782.88</v>
      </c>
      <c r="M152" s="181">
        <f t="shared" si="78"/>
        <v>6.57</v>
      </c>
      <c r="N152" s="182">
        <f t="shared" si="79"/>
        <v>1.26</v>
      </c>
      <c r="O152" s="183">
        <f t="shared" si="80"/>
        <v>0</v>
      </c>
      <c r="P152" s="184">
        <f t="shared" si="81"/>
        <v>1.26</v>
      </c>
      <c r="Q152" s="184">
        <f t="shared" si="82"/>
        <v>0</v>
      </c>
      <c r="R15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5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26957.5</v>
      </c>
      <c r="T15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26957.5</v>
      </c>
      <c r="U152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52" s="187">
        <f t="shared" si="83"/>
        <v>0</v>
      </c>
      <c r="W152" s="187">
        <f t="shared" si="84"/>
        <v>0</v>
      </c>
      <c r="X152" s="187">
        <f t="shared" si="85"/>
        <v>1.26</v>
      </c>
      <c r="Y152" s="187">
        <f t="shared" si="86"/>
        <v>0</v>
      </c>
      <c r="Z152" s="187">
        <f t="shared" si="87"/>
        <v>0</v>
      </c>
      <c r="AA152" s="183">
        <f t="shared" si="88"/>
        <v>0</v>
      </c>
      <c r="AB152" s="187">
        <f t="shared" si="89"/>
        <v>0</v>
      </c>
      <c r="AC152" s="183">
        <f t="shared" si="90"/>
        <v>0</v>
      </c>
      <c r="AD152" s="188">
        <f t="shared" si="91"/>
        <v>0.72361111111240461</v>
      </c>
      <c r="AE152" s="188">
        <f t="shared" si="92"/>
        <v>0.72361111111240461</v>
      </c>
      <c r="AF152" s="188">
        <f t="shared" si="93"/>
        <v>0</v>
      </c>
      <c r="AG152" s="188">
        <f t="shared" si="94"/>
        <v>0</v>
      </c>
    </row>
    <row r="153" spans="2:33" ht="15" customHeight="1" x14ac:dyDescent="0.15">
      <c r="B153" s="174" t="s">
        <v>19</v>
      </c>
      <c r="C153" s="175" t="s">
        <v>15</v>
      </c>
      <c r="D153" s="176" t="str">
        <f t="shared" si="76"/>
        <v>C</v>
      </c>
      <c r="E153" s="177" t="d">
        <v>2021-04-15T08:15:00.000</v>
      </c>
      <c r="F153" s="178" t="s">
        <v>77</v>
      </c>
      <c r="G153" s="179">
        <v>1741.8</v>
      </c>
      <c r="H153" s="179">
        <v>1737.23</v>
      </c>
      <c r="I153" s="180">
        <f t="shared" si="77"/>
        <v>4.5699999999999363</v>
      </c>
      <c r="J153" s="179">
        <v>1763.73</v>
      </c>
      <c r="K153" s="177" t="d">
        <v>2021-04-15T17:07:59.99999988824129100</v>
      </c>
      <c r="L153" s="179">
        <v>1763.73</v>
      </c>
      <c r="M153" s="181">
        <f t="shared" si="78"/>
        <v>21.93</v>
      </c>
      <c r="N153" s="182">
        <f t="shared" si="79"/>
        <v>4.8</v>
      </c>
      <c r="O153" s="183">
        <f t="shared" si="80"/>
        <v>0</v>
      </c>
      <c r="P153" s="184">
        <f t="shared" si="81"/>
        <v>4.8</v>
      </c>
      <c r="Q153" s="184">
        <f t="shared" si="82"/>
        <v>0</v>
      </c>
      <c r="R15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5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26642.5</v>
      </c>
      <c r="T15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53" s="186">
        <f ca="1">IF(Tabla33610673489[[#This Row],[Equity]]&lt;Tabla33610673489[[#This Row],[Equity Peak]],(Tabla33610673489[[#This Row],[Equity Peak]]-Tabla33610673489[[#This Row],[Equity]])/Tabla33610673489[[#This Row],[Equity Peak]],"")</f>
        <v>6.5641410352588146E-4</v>
      </c>
      <c r="V153" s="187">
        <f t="shared" si="83"/>
        <v>0</v>
      </c>
      <c r="W153" s="187">
        <f t="shared" si="84"/>
        <v>0</v>
      </c>
      <c r="X153" s="187">
        <f t="shared" si="85"/>
        <v>4.8</v>
      </c>
      <c r="Y153" s="187">
        <f t="shared" si="86"/>
        <v>0</v>
      </c>
      <c r="Z153" s="187">
        <f t="shared" si="87"/>
        <v>0</v>
      </c>
      <c r="AA153" s="183">
        <f t="shared" si="88"/>
        <v>0</v>
      </c>
      <c r="AB153" s="187">
        <f t="shared" si="89"/>
        <v>0</v>
      </c>
      <c r="AC153" s="183">
        <f t="shared" si="90"/>
        <v>0</v>
      </c>
      <c r="AD153" s="188">
        <f t="shared" si="91"/>
        <v>0.37013888888759539</v>
      </c>
      <c r="AE153" s="188">
        <f t="shared" si="92"/>
        <v>0.37013888888759539</v>
      </c>
      <c r="AF153" s="188">
        <f t="shared" si="93"/>
        <v>0</v>
      </c>
      <c r="AG153" s="188">
        <f t="shared" si="94"/>
        <v>0</v>
      </c>
    </row>
    <row r="154" spans="2:33" ht="15" customHeight="1" x14ac:dyDescent="0.15">
      <c r="B154" s="174" t="s">
        <v>19</v>
      </c>
      <c r="C154" s="175" t="s">
        <v>15</v>
      </c>
      <c r="D154" s="176" t="str">
        <f t="shared" si="76"/>
        <v>C</v>
      </c>
      <c r="E154" s="177" t="d">
        <v>2021-04-13T15:45:00.000</v>
      </c>
      <c r="F154" s="178" t="s">
        <v>77</v>
      </c>
      <c r="G154" s="179">
        <v>1740.35</v>
      </c>
      <c r="H154" s="179">
        <v>1735.71</v>
      </c>
      <c r="I154" s="180">
        <f t="shared" si="77"/>
        <v>4.6399999999998727</v>
      </c>
      <c r="J154" s="179">
        <v>1762.6</v>
      </c>
      <c r="K154" s="177" t="d">
        <v>2021-04-14T16:18:59.999999734573066125</v>
      </c>
      <c r="L154" s="179">
        <v>1738.67</v>
      </c>
      <c r="M154" s="181">
        <f t="shared" si="78"/>
        <v>-1.68</v>
      </c>
      <c r="N154" s="182">
        <f t="shared" si="79"/>
        <v>-0.36</v>
      </c>
      <c r="O154" s="183">
        <f t="shared" si="80"/>
        <v>0</v>
      </c>
      <c r="P154" s="184">
        <f t="shared" si="81"/>
        <v>0</v>
      </c>
      <c r="Q154" s="184">
        <f t="shared" si="82"/>
        <v>-0.36</v>
      </c>
      <c r="R15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5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25442.5</v>
      </c>
      <c r="T15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54" s="186">
        <f ca="1">IF(Tabla33610673489[[#This Row],[Equity]]&lt;Tabla33610673489[[#This Row],[Equity Peak]],(Tabla33610673489[[#This Row],[Equity Peak]]-Tabla33610673489[[#This Row],[Equity]])/Tabla33610673489[[#This Row],[Equity Peak]],"")</f>
        <v>4.5667666916729181E-2</v>
      </c>
      <c r="V154" s="187">
        <f t="shared" si="83"/>
        <v>0</v>
      </c>
      <c r="W154" s="187">
        <f t="shared" si="84"/>
        <v>0</v>
      </c>
      <c r="X154" s="187">
        <f t="shared" si="85"/>
        <v>-0.36</v>
      </c>
      <c r="Y154" s="187">
        <f t="shared" si="86"/>
        <v>0</v>
      </c>
      <c r="Z154" s="187">
        <f t="shared" si="87"/>
        <v>0</v>
      </c>
      <c r="AA154" s="183">
        <f t="shared" si="88"/>
        <v>0</v>
      </c>
      <c r="AB154" s="187">
        <f t="shared" si="89"/>
        <v>0</v>
      </c>
      <c r="AC154" s="183">
        <f t="shared" si="90"/>
        <v>0</v>
      </c>
      <c r="AD154" s="188">
        <f t="shared" si="91"/>
        <v>1.023611111108039</v>
      </c>
      <c r="AE154" s="188">
        <f t="shared" si="92"/>
        <v>0</v>
      </c>
      <c r="AF154" s="188">
        <f t="shared" si="93"/>
        <v>1.023611111108039</v>
      </c>
      <c r="AG154" s="188">
        <f t="shared" si="94"/>
        <v>0</v>
      </c>
    </row>
    <row r="155" spans="2:33" ht="15" customHeight="1" x14ac:dyDescent="0.15">
      <c r="B155" s="174" t="s">
        <v>19</v>
      </c>
      <c r="C155" s="175" t="s">
        <v>15</v>
      </c>
      <c r="D155" s="176" t="str">
        <f t="shared" si="76"/>
        <v>C</v>
      </c>
      <c r="E155" s="177" t="d">
        <v>2021-04-12T14:29:59.99999979045242400</v>
      </c>
      <c r="F155" s="178" t="s">
        <v>77</v>
      </c>
      <c r="G155" s="179">
        <v>1743.88</v>
      </c>
      <c r="H155" s="179">
        <v>1739.33</v>
      </c>
      <c r="I155" s="180">
        <f t="shared" si="77"/>
        <v>4.5500000000001819</v>
      </c>
      <c r="J155" s="179">
        <v>1765.71</v>
      </c>
      <c r="K155" s="177" t="d">
        <v>2021-04-12T15:53:59.99999987427145575</v>
      </c>
      <c r="L155" s="179">
        <v>1739.33</v>
      </c>
      <c r="M155" s="181">
        <f t="shared" si="78"/>
        <v>-4.55</v>
      </c>
      <c r="N155" s="182">
        <f t="shared" si="79"/>
        <v>-1</v>
      </c>
      <c r="O155" s="183">
        <f t="shared" si="80"/>
        <v>0</v>
      </c>
      <c r="P155" s="184">
        <f t="shared" si="81"/>
        <v>0</v>
      </c>
      <c r="Q155" s="184">
        <f t="shared" si="82"/>
        <v>-1</v>
      </c>
      <c r="R15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5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25532.5</v>
      </c>
      <c r="T15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55" s="186">
        <f ca="1">IF(Tabla33610673489[[#This Row],[Equity]]&lt;Tabla33610673489[[#This Row],[Equity Peak]],(Tabla33610673489[[#This Row],[Equity Peak]]-Tabla33610673489[[#This Row],[Equity]])/Tabla33610673489[[#This Row],[Equity Peak]],"")</f>
        <v>4.2291822955738932E-2</v>
      </c>
      <c r="V155" s="187">
        <f t="shared" si="83"/>
        <v>0</v>
      </c>
      <c r="W155" s="187">
        <f t="shared" si="84"/>
        <v>0</v>
      </c>
      <c r="X155" s="187">
        <f t="shared" si="85"/>
        <v>-1</v>
      </c>
      <c r="Y155" s="187">
        <f t="shared" si="86"/>
        <v>0</v>
      </c>
      <c r="Z155" s="187">
        <f t="shared" si="87"/>
        <v>0</v>
      </c>
      <c r="AA155" s="183">
        <f t="shared" si="88"/>
        <v>0</v>
      </c>
      <c r="AB155" s="187">
        <f t="shared" si="89"/>
        <v>0</v>
      </c>
      <c r="AC155" s="183">
        <f t="shared" si="90"/>
        <v>0</v>
      </c>
      <c r="AD155" s="188">
        <f t="shared" si="91"/>
        <v>5.8333333334303461E-2</v>
      </c>
      <c r="AE155" s="188">
        <f t="shared" si="92"/>
        <v>0</v>
      </c>
      <c r="AF155" s="188">
        <f t="shared" si="93"/>
        <v>5.8333333334303461E-2</v>
      </c>
      <c r="AG155" s="188">
        <f t="shared" si="94"/>
        <v>0</v>
      </c>
    </row>
    <row r="156" spans="2:33" ht="15" customHeight="1" x14ac:dyDescent="0.15">
      <c r="B156" s="174" t="s">
        <v>19</v>
      </c>
      <c r="C156" s="175" t="s">
        <v>15</v>
      </c>
      <c r="D156" s="176" t="str">
        <f t="shared" si="76"/>
        <v>C</v>
      </c>
      <c r="E156" s="177" t="d">
        <v>2021-04-08T08:45:00.00000020954757600</v>
      </c>
      <c r="F156" s="178" t="s">
        <v>77</v>
      </c>
      <c r="G156" s="179">
        <v>1743.21</v>
      </c>
      <c r="H156" s="179">
        <v>1738.36</v>
      </c>
      <c r="I156" s="180">
        <f t="shared" si="77"/>
        <v>4.8500000000001364</v>
      </c>
      <c r="J156" s="179">
        <v>1766.48</v>
      </c>
      <c r="K156" s="177" t="d">
        <v>2021-04-09T03:24:00.00000029336660775</v>
      </c>
      <c r="L156" s="179">
        <v>1753.35</v>
      </c>
      <c r="M156" s="181">
        <f t="shared" si="78"/>
        <v>10.14</v>
      </c>
      <c r="N156" s="182">
        <f t="shared" si="79"/>
        <v>2.09</v>
      </c>
      <c r="O156" s="183">
        <f t="shared" si="80"/>
        <v>0</v>
      </c>
      <c r="P156" s="184">
        <f t="shared" si="81"/>
        <v>2.09</v>
      </c>
      <c r="Q156" s="184">
        <f t="shared" si="82"/>
        <v>0</v>
      </c>
      <c r="R15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5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25782.5</v>
      </c>
      <c r="T15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56" s="186">
        <f ca="1">IF(Tabla33610673489[[#This Row],[Equity]]&lt;Tabla33610673489[[#This Row],[Equity Peak]],(Tabla33610673489[[#This Row],[Equity Peak]]-Tabla33610673489[[#This Row],[Equity]])/Tabla33610673489[[#This Row],[Equity Peak]],"")</f>
        <v>3.2914478619654915E-2</v>
      </c>
      <c r="V156" s="187">
        <f t="shared" si="83"/>
        <v>0</v>
      </c>
      <c r="W156" s="187">
        <f t="shared" si="84"/>
        <v>0</v>
      </c>
      <c r="X156" s="187">
        <f t="shared" si="85"/>
        <v>2.09</v>
      </c>
      <c r="Y156" s="187">
        <f t="shared" si="86"/>
        <v>0</v>
      </c>
      <c r="Z156" s="187">
        <f t="shared" si="87"/>
        <v>0</v>
      </c>
      <c r="AA156" s="183">
        <f t="shared" si="88"/>
        <v>0</v>
      </c>
      <c r="AB156" s="187">
        <f t="shared" si="89"/>
        <v>0</v>
      </c>
      <c r="AC156" s="183">
        <f t="shared" si="90"/>
        <v>0</v>
      </c>
      <c r="AD156" s="188">
        <f t="shared" si="91"/>
        <v>0.77708333333430346</v>
      </c>
      <c r="AE156" s="188">
        <f t="shared" si="92"/>
        <v>0.77708333333430346</v>
      </c>
      <c r="AF156" s="188">
        <f t="shared" si="93"/>
        <v>0</v>
      </c>
      <c r="AG156" s="188">
        <f t="shared" si="94"/>
        <v>0</v>
      </c>
    </row>
    <row r="157" spans="2:33" ht="15" customHeight="1" x14ac:dyDescent="0.15">
      <c r="B157" s="174" t="s">
        <v>19</v>
      </c>
      <c r="C157" s="175" t="s">
        <v>15</v>
      </c>
      <c r="D157" s="176" t="str">
        <f t="shared" si="76"/>
        <v>C</v>
      </c>
      <c r="E157" s="177" t="d">
        <v>2021-04-07T18:14:59.99999979045242400</v>
      </c>
      <c r="F157" s="178" t="s">
        <v>77</v>
      </c>
      <c r="G157" s="179">
        <v>1742.54</v>
      </c>
      <c r="H157" s="179">
        <v>1737.38</v>
      </c>
      <c r="I157" s="180">
        <f t="shared" si="77"/>
        <v>5.1599999999998545</v>
      </c>
      <c r="J157" s="179">
        <v>1767.31</v>
      </c>
      <c r="K157" s="177" t="d">
        <v>2021-04-07T22:09:00.00000029336660775</v>
      </c>
      <c r="L157" s="179">
        <v>1737.38</v>
      </c>
      <c r="M157" s="181">
        <f t="shared" si="78"/>
        <v>-5.16</v>
      </c>
      <c r="N157" s="182">
        <f t="shared" si="79"/>
        <v>-1</v>
      </c>
      <c r="O157" s="183">
        <f t="shared" si="80"/>
        <v>0</v>
      </c>
      <c r="P157" s="184">
        <f t="shared" si="81"/>
        <v>0</v>
      </c>
      <c r="Q157" s="184">
        <f t="shared" si="82"/>
        <v>-1</v>
      </c>
      <c r="R15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5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25260</v>
      </c>
      <c r="T15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57" s="186">
        <f ca="1">IF(Tabla33610673489[[#This Row],[Equity]]&lt;Tabla33610673489[[#This Row],[Equity Peak]],(Tabla33610673489[[#This Row],[Equity Peak]]-Tabla33610673489[[#This Row],[Equity]])/Tabla33610673489[[#This Row],[Equity Peak]],"")</f>
        <v>5.2513128282070519E-2</v>
      </c>
      <c r="V157" s="187">
        <f t="shared" si="83"/>
        <v>0</v>
      </c>
      <c r="W157" s="187">
        <f t="shared" si="84"/>
        <v>0</v>
      </c>
      <c r="X157" s="187">
        <f t="shared" si="85"/>
        <v>-1</v>
      </c>
      <c r="Y157" s="187">
        <f t="shared" si="86"/>
        <v>0</v>
      </c>
      <c r="Z157" s="187">
        <f t="shared" si="87"/>
        <v>0</v>
      </c>
      <c r="AA157" s="183">
        <f t="shared" si="88"/>
        <v>0</v>
      </c>
      <c r="AB157" s="187">
        <f t="shared" si="89"/>
        <v>0</v>
      </c>
      <c r="AC157" s="183">
        <f t="shared" si="90"/>
        <v>0</v>
      </c>
      <c r="AD157" s="188">
        <f t="shared" si="91"/>
        <v>0.16250000000582077</v>
      </c>
      <c r="AE157" s="188">
        <f t="shared" si="92"/>
        <v>0</v>
      </c>
      <c r="AF157" s="188">
        <f t="shared" si="93"/>
        <v>0.16250000000582077</v>
      </c>
      <c r="AG157" s="188">
        <f t="shared" si="94"/>
        <v>0</v>
      </c>
    </row>
    <row r="158" spans="2:33" ht="15" customHeight="1" x14ac:dyDescent="0.15">
      <c r="B158" s="174" t="s">
        <v>19</v>
      </c>
      <c r="C158" s="175" t="s">
        <v>15</v>
      </c>
      <c r="D158" s="176" t="str">
        <f t="shared" si="76"/>
        <v>C</v>
      </c>
      <c r="E158" s="177" t="d">
        <v>2021-03-31T16:44:59.99999979045242400</v>
      </c>
      <c r="F158" s="178" t="s">
        <v>77</v>
      </c>
      <c r="G158" s="179">
        <v>1690.51</v>
      </c>
      <c r="H158" s="179">
        <v>1685.34</v>
      </c>
      <c r="I158" s="180">
        <f t="shared" si="77"/>
        <v>5.1700000000000728</v>
      </c>
      <c r="J158" s="179">
        <v>1715.32</v>
      </c>
      <c r="K158" s="177" t="d">
        <v>2021-03-31T20:23:59.99999987427145575</v>
      </c>
      <c r="L158" s="179">
        <v>1715.32</v>
      </c>
      <c r="M158" s="181">
        <f t="shared" si="78"/>
        <v>24.81</v>
      </c>
      <c r="N158" s="182">
        <f t="shared" si="79"/>
        <v>4.8</v>
      </c>
      <c r="O158" s="183">
        <f t="shared" si="80"/>
        <v>0</v>
      </c>
      <c r="P158" s="184">
        <f t="shared" si="81"/>
        <v>4.8</v>
      </c>
      <c r="Q158" s="184">
        <f t="shared" si="82"/>
        <v>0</v>
      </c>
      <c r="R15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5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25510</v>
      </c>
      <c r="T15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58" s="186">
        <f ca="1">IF(Tabla33610673489[[#This Row],[Equity]]&lt;Tabla33610673489[[#This Row],[Equity Peak]],(Tabla33610673489[[#This Row],[Equity Peak]]-Tabla33610673489[[#This Row],[Equity]])/Tabla33610673489[[#This Row],[Equity Peak]],"")</f>
        <v>4.3135783945986494E-2</v>
      </c>
      <c r="V158" s="187">
        <f t="shared" si="83"/>
        <v>0</v>
      </c>
      <c r="W158" s="187">
        <f t="shared" si="84"/>
        <v>0</v>
      </c>
      <c r="X158" s="187">
        <f t="shared" si="85"/>
        <v>4.8</v>
      </c>
      <c r="Y158" s="187">
        <f t="shared" si="86"/>
        <v>0</v>
      </c>
      <c r="Z158" s="187">
        <f t="shared" si="87"/>
        <v>0</v>
      </c>
      <c r="AA158" s="183">
        <f t="shared" si="88"/>
        <v>0</v>
      </c>
      <c r="AB158" s="187">
        <f t="shared" si="89"/>
        <v>0</v>
      </c>
      <c r="AC158" s="183">
        <f t="shared" si="90"/>
        <v>0</v>
      </c>
      <c r="AD158" s="188">
        <f t="shared" si="91"/>
        <v>0.15208333333430346</v>
      </c>
      <c r="AE158" s="188">
        <f t="shared" si="92"/>
        <v>0.15208333333430346</v>
      </c>
      <c r="AF158" s="188">
        <f t="shared" si="93"/>
        <v>0</v>
      </c>
      <c r="AG158" s="188">
        <f t="shared" si="94"/>
        <v>0</v>
      </c>
    </row>
    <row r="159" spans="2:33" ht="15" customHeight="1" x14ac:dyDescent="0.15">
      <c r="B159" s="174" t="s">
        <v>19</v>
      </c>
      <c r="C159" s="175" t="s">
        <v>15</v>
      </c>
      <c r="D159" s="176" t="str">
        <f t="shared" si="76"/>
        <v>C</v>
      </c>
      <c r="E159" s="177" t="d">
        <v>2021-03-31T09:45:00.000</v>
      </c>
      <c r="F159" s="178" t="s">
        <v>77</v>
      </c>
      <c r="G159" s="179">
        <v>1687.55</v>
      </c>
      <c r="H159" s="179">
        <v>1682.48</v>
      </c>
      <c r="I159" s="180">
        <f t="shared" si="77"/>
        <v>5.0699999999999363</v>
      </c>
      <c r="J159" s="179">
        <v>1711.89</v>
      </c>
      <c r="K159" s="177" t="d">
        <v>2021-03-31T15:17:59.99999974854290475</v>
      </c>
      <c r="L159" s="179">
        <v>1682.48</v>
      </c>
      <c r="M159" s="181">
        <f t="shared" si="78"/>
        <v>-5.07</v>
      </c>
      <c r="N159" s="182">
        <f t="shared" si="79"/>
        <v>-1</v>
      </c>
      <c r="O159" s="183">
        <f t="shared" si="80"/>
        <v>0</v>
      </c>
      <c r="P159" s="184">
        <f t="shared" si="81"/>
        <v>0</v>
      </c>
      <c r="Q159" s="184">
        <f t="shared" si="82"/>
        <v>-1</v>
      </c>
      <c r="R15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5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24310</v>
      </c>
      <c r="T15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59" s="186">
        <f ca="1">IF(Tabla33610673489[[#This Row],[Equity]]&lt;Tabla33610673489[[#This Row],[Equity Peak]],(Tabla33610673489[[#This Row],[Equity Peak]]-Tabla33610673489[[#This Row],[Equity]])/Tabla33610673489[[#This Row],[Equity Peak]],"")</f>
        <v>8.8147036759189792E-2</v>
      </c>
      <c r="V159" s="187">
        <f t="shared" si="83"/>
        <v>0</v>
      </c>
      <c r="W159" s="187">
        <f t="shared" si="84"/>
        <v>0</v>
      </c>
      <c r="X159" s="187">
        <f t="shared" si="85"/>
        <v>-1</v>
      </c>
      <c r="Y159" s="187">
        <f t="shared" si="86"/>
        <v>0</v>
      </c>
      <c r="Z159" s="187">
        <f t="shared" si="87"/>
        <v>0</v>
      </c>
      <c r="AA159" s="183">
        <f t="shared" si="88"/>
        <v>0</v>
      </c>
      <c r="AB159" s="187">
        <f t="shared" si="89"/>
        <v>0</v>
      </c>
      <c r="AC159" s="183">
        <f t="shared" si="90"/>
        <v>0</v>
      </c>
      <c r="AD159" s="188">
        <f t="shared" si="91"/>
        <v>0.23124999999708962</v>
      </c>
      <c r="AE159" s="188">
        <f t="shared" si="92"/>
        <v>0</v>
      </c>
      <c r="AF159" s="188">
        <f t="shared" si="93"/>
        <v>0.23124999999708962</v>
      </c>
      <c r="AG159" s="188">
        <f t="shared" si="94"/>
        <v>0</v>
      </c>
    </row>
    <row r="160" spans="2:33" ht="15" customHeight="1" x14ac:dyDescent="0.15">
      <c r="B160" s="174" t="s">
        <v>19</v>
      </c>
      <c r="C160" s="175" t="s">
        <v>15</v>
      </c>
      <c r="D160" s="176" t="str">
        <f t="shared" si="76"/>
        <v>C</v>
      </c>
      <c r="E160" s="177" t="d">
        <v>2021-03-26T18:14:59.99999979045242400</v>
      </c>
      <c r="F160" s="178" t="s">
        <v>77</v>
      </c>
      <c r="G160" s="179">
        <v>1735.32</v>
      </c>
      <c r="H160" s="179">
        <v>1730.18</v>
      </c>
      <c r="I160" s="180">
        <f t="shared" si="77"/>
        <v>5.1399999999998727</v>
      </c>
      <c r="J160" s="179">
        <v>1760.01</v>
      </c>
      <c r="K160" s="177" t="d">
        <v>2021-03-29T03:47:59.9999999580904875</v>
      </c>
      <c r="L160" s="179">
        <v>1730.18</v>
      </c>
      <c r="M160" s="181">
        <f t="shared" si="78"/>
        <v>-5.14</v>
      </c>
      <c r="N160" s="182">
        <f t="shared" si="79"/>
        <v>-1</v>
      </c>
      <c r="O160" s="183">
        <f t="shared" si="80"/>
        <v>0</v>
      </c>
      <c r="P160" s="184">
        <f t="shared" si="81"/>
        <v>0</v>
      </c>
      <c r="Q160" s="184">
        <f t="shared" si="82"/>
        <v>-1</v>
      </c>
      <c r="R16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6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24560</v>
      </c>
      <c r="T16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60" s="186">
        <f ca="1">IF(Tabla33610673489[[#This Row],[Equity]]&lt;Tabla33610673489[[#This Row],[Equity Peak]],(Tabla33610673489[[#This Row],[Equity Peak]]-Tabla33610673489[[#This Row],[Equity]])/Tabla33610673489[[#This Row],[Equity Peak]],"")</f>
        <v>7.8769692423105775E-2</v>
      </c>
      <c r="V160" s="187">
        <f t="shared" si="83"/>
        <v>0</v>
      </c>
      <c r="W160" s="187">
        <f t="shared" si="84"/>
        <v>0</v>
      </c>
      <c r="X160" s="187">
        <f t="shared" si="85"/>
        <v>-1</v>
      </c>
      <c r="Y160" s="187">
        <f t="shared" si="86"/>
        <v>0</v>
      </c>
      <c r="Z160" s="187">
        <f t="shared" si="87"/>
        <v>0</v>
      </c>
      <c r="AA160" s="183">
        <f t="shared" si="88"/>
        <v>0</v>
      </c>
      <c r="AB160" s="187">
        <f t="shared" si="89"/>
        <v>0</v>
      </c>
      <c r="AC160" s="183">
        <f t="shared" si="90"/>
        <v>0</v>
      </c>
      <c r="AD160" s="188">
        <f t="shared" si="91"/>
        <v>2.3979166666686069</v>
      </c>
      <c r="AE160" s="188">
        <f t="shared" si="92"/>
        <v>0</v>
      </c>
      <c r="AF160" s="188">
        <f t="shared" si="93"/>
        <v>2.3979166666686069</v>
      </c>
      <c r="AG160" s="188">
        <f t="shared" si="94"/>
        <v>0</v>
      </c>
    </row>
    <row r="161" spans="2:33" ht="15" customHeight="1" x14ac:dyDescent="0.15">
      <c r="B161" s="174" t="s">
        <v>19</v>
      </c>
      <c r="C161" s="175" t="s">
        <v>15</v>
      </c>
      <c r="D161" s="176" t="str">
        <f t="shared" si="76"/>
        <v>C</v>
      </c>
      <c r="E161" s="177" t="d">
        <v>2021-03-26T12:45:00.000</v>
      </c>
      <c r="F161" s="178" t="s">
        <v>77</v>
      </c>
      <c r="G161" s="179">
        <v>1731.4</v>
      </c>
      <c r="H161" s="179">
        <v>1726.29</v>
      </c>
      <c r="I161" s="180">
        <f t="shared" si="77"/>
        <v>5.1100000000001273</v>
      </c>
      <c r="J161" s="179">
        <v>1755.94</v>
      </c>
      <c r="K161" s="177" t="d">
        <v>2021-03-26T13:30:00.000</v>
      </c>
      <c r="L161" s="179">
        <v>1726.29</v>
      </c>
      <c r="M161" s="181">
        <f t="shared" si="78"/>
        <v>-5.1100000000000003</v>
      </c>
      <c r="N161" s="182">
        <f t="shared" si="79"/>
        <v>-1</v>
      </c>
      <c r="O161" s="183">
        <f t="shared" si="80"/>
        <v>0</v>
      </c>
      <c r="P161" s="184">
        <f t="shared" si="81"/>
        <v>0</v>
      </c>
      <c r="Q161" s="184">
        <f t="shared" si="82"/>
        <v>-1</v>
      </c>
      <c r="R16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6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24810</v>
      </c>
      <c r="T16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61" s="186">
        <f ca="1">IF(Tabla33610673489[[#This Row],[Equity]]&lt;Tabla33610673489[[#This Row],[Equity Peak]],(Tabla33610673489[[#This Row],[Equity Peak]]-Tabla33610673489[[#This Row],[Equity]])/Tabla33610673489[[#This Row],[Equity Peak]],"")</f>
        <v>6.9392348087021757E-2</v>
      </c>
      <c r="V161" s="187">
        <f t="shared" si="83"/>
        <v>0</v>
      </c>
      <c r="W161" s="187">
        <f t="shared" si="84"/>
        <v>0</v>
      </c>
      <c r="X161" s="187">
        <f t="shared" si="85"/>
        <v>-1</v>
      </c>
      <c r="Y161" s="187">
        <f t="shared" si="86"/>
        <v>0</v>
      </c>
      <c r="Z161" s="187">
        <f t="shared" si="87"/>
        <v>0</v>
      </c>
      <c r="AA161" s="183">
        <f t="shared" si="88"/>
        <v>0</v>
      </c>
      <c r="AB161" s="187">
        <f t="shared" si="89"/>
        <v>0</v>
      </c>
      <c r="AC161" s="183">
        <f t="shared" si="90"/>
        <v>0</v>
      </c>
      <c r="AD161" s="188">
        <f t="shared" si="91"/>
        <v>3.125E-2</v>
      </c>
      <c r="AE161" s="188">
        <f t="shared" si="92"/>
        <v>0</v>
      </c>
      <c r="AF161" s="188">
        <f t="shared" si="93"/>
        <v>3.125E-2</v>
      </c>
      <c r="AG161" s="188">
        <f t="shared" si="94"/>
        <v>0</v>
      </c>
    </row>
    <row r="162" spans="2:33" ht="15" customHeight="1" x14ac:dyDescent="0.15">
      <c r="B162" s="174" t="s">
        <v>19</v>
      </c>
      <c r="C162" s="175" t="s">
        <v>15</v>
      </c>
      <c r="D162" s="176" t="str">
        <f t="shared" si="76"/>
        <v>C</v>
      </c>
      <c r="E162" s="177" t="d">
        <v>2021-03-25T16:30:00.000</v>
      </c>
      <c r="F162" s="178" t="s">
        <v>77</v>
      </c>
      <c r="G162" s="179">
        <v>1740.1</v>
      </c>
      <c r="H162" s="179">
        <v>1734.65</v>
      </c>
      <c r="I162" s="180">
        <f t="shared" si="77"/>
        <v>5.4499999999998181</v>
      </c>
      <c r="J162" s="179">
        <v>1766.24</v>
      </c>
      <c r="K162" s="177" t="d">
        <v>2021-03-25T17:36:59.99999990221113300</v>
      </c>
      <c r="L162" s="179">
        <v>1734.65</v>
      </c>
      <c r="M162" s="181">
        <f t="shared" si="78"/>
        <v>-5.45</v>
      </c>
      <c r="N162" s="182">
        <f t="shared" si="79"/>
        <v>-1</v>
      </c>
      <c r="O162" s="183">
        <f t="shared" si="80"/>
        <v>0</v>
      </c>
      <c r="P162" s="184">
        <f t="shared" si="81"/>
        <v>0</v>
      </c>
      <c r="Q162" s="184">
        <f t="shared" si="82"/>
        <v>-1</v>
      </c>
      <c r="R16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6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25060</v>
      </c>
      <c r="T16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62" s="186">
        <f ca="1">IF(Tabla33610673489[[#This Row],[Equity]]&lt;Tabla33610673489[[#This Row],[Equity Peak]],(Tabla33610673489[[#This Row],[Equity Peak]]-Tabla33610673489[[#This Row],[Equity]])/Tabla33610673489[[#This Row],[Equity Peak]],"")</f>
        <v>6.0015003750937733E-2</v>
      </c>
      <c r="V162" s="187">
        <f t="shared" si="83"/>
        <v>0</v>
      </c>
      <c r="W162" s="187">
        <f t="shared" si="84"/>
        <v>0</v>
      </c>
      <c r="X162" s="187">
        <f t="shared" si="85"/>
        <v>-1</v>
      </c>
      <c r="Y162" s="187">
        <f t="shared" si="86"/>
        <v>0</v>
      </c>
      <c r="Z162" s="187">
        <f t="shared" si="87"/>
        <v>0</v>
      </c>
      <c r="AA162" s="183">
        <f t="shared" si="88"/>
        <v>0</v>
      </c>
      <c r="AB162" s="187">
        <f t="shared" si="89"/>
        <v>0</v>
      </c>
      <c r="AC162" s="183">
        <f t="shared" si="90"/>
        <v>0</v>
      </c>
      <c r="AD162" s="188">
        <f t="shared" si="91"/>
        <v>4.6527777776645962E-2</v>
      </c>
      <c r="AE162" s="188">
        <f t="shared" si="92"/>
        <v>0</v>
      </c>
      <c r="AF162" s="188">
        <f t="shared" si="93"/>
        <v>4.6527777776645962E-2</v>
      </c>
      <c r="AG162" s="188">
        <f t="shared" si="94"/>
        <v>0</v>
      </c>
    </row>
    <row r="163" spans="2:33" ht="15" customHeight="1" x14ac:dyDescent="0.15">
      <c r="B163" s="174" t="s">
        <v>19</v>
      </c>
      <c r="C163" s="175" t="s">
        <v>15</v>
      </c>
      <c r="D163" s="176" t="str">
        <f t="shared" si="76"/>
        <v>C</v>
      </c>
      <c r="E163" s="177" t="d">
        <v>2021-03-24T19:15:00.00000020954757600</v>
      </c>
      <c r="F163" s="178" t="s">
        <v>77</v>
      </c>
      <c r="G163" s="179">
        <v>1736.87</v>
      </c>
      <c r="H163" s="179">
        <v>1731.1</v>
      </c>
      <c r="I163" s="180">
        <f t="shared" si="77"/>
        <v>5.7699999999999818</v>
      </c>
      <c r="J163" s="179">
        <v>1764.57</v>
      </c>
      <c r="K163" s="177" t="d">
        <v>2021-03-25T10:09:00.00000029336660775</v>
      </c>
      <c r="L163" s="179">
        <v>1731.1</v>
      </c>
      <c r="M163" s="181">
        <f t="shared" si="78"/>
        <v>-5.77</v>
      </c>
      <c r="N163" s="182">
        <f t="shared" si="79"/>
        <v>-1</v>
      </c>
      <c r="O163" s="183">
        <f t="shared" si="80"/>
        <v>0</v>
      </c>
      <c r="P163" s="184">
        <f t="shared" si="81"/>
        <v>0</v>
      </c>
      <c r="Q163" s="184">
        <f t="shared" si="82"/>
        <v>-1</v>
      </c>
      <c r="R16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6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25310</v>
      </c>
      <c r="T16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63" s="186">
        <f ca="1">IF(Tabla33610673489[[#This Row],[Equity]]&lt;Tabla33610673489[[#This Row],[Equity Peak]],(Tabla33610673489[[#This Row],[Equity Peak]]-Tabla33610673489[[#This Row],[Equity]])/Tabla33610673489[[#This Row],[Equity Peak]],"")</f>
        <v>5.0637659414853715E-2</v>
      </c>
      <c r="V163" s="187">
        <f t="shared" si="83"/>
        <v>0</v>
      </c>
      <c r="W163" s="187">
        <f t="shared" si="84"/>
        <v>0</v>
      </c>
      <c r="X163" s="187">
        <f t="shared" si="85"/>
        <v>-1</v>
      </c>
      <c r="Y163" s="187">
        <f t="shared" si="86"/>
        <v>0</v>
      </c>
      <c r="Z163" s="187">
        <f t="shared" si="87"/>
        <v>0</v>
      </c>
      <c r="AA163" s="183">
        <f t="shared" si="88"/>
        <v>0</v>
      </c>
      <c r="AB163" s="187">
        <f t="shared" si="89"/>
        <v>0</v>
      </c>
      <c r="AC163" s="183">
        <f t="shared" si="90"/>
        <v>0</v>
      </c>
      <c r="AD163" s="188">
        <f t="shared" si="91"/>
        <v>0.62083333333430346</v>
      </c>
      <c r="AE163" s="188">
        <f t="shared" si="92"/>
        <v>0</v>
      </c>
      <c r="AF163" s="188">
        <f t="shared" si="93"/>
        <v>0.62083333333430346</v>
      </c>
      <c r="AG163" s="188">
        <f t="shared" si="94"/>
        <v>0</v>
      </c>
    </row>
    <row r="164" spans="2:33" ht="15" customHeight="1" x14ac:dyDescent="0.15">
      <c r="B164" s="174" t="s">
        <v>19</v>
      </c>
      <c r="C164" s="175" t="s">
        <v>15</v>
      </c>
      <c r="D164" s="176" t="str">
        <f t="shared" si="76"/>
        <v>C</v>
      </c>
      <c r="E164" s="177" t="d">
        <v>2021-03-23T13:15:00.00000020954757600</v>
      </c>
      <c r="F164" s="178" t="s">
        <v>77</v>
      </c>
      <c r="G164" s="179">
        <v>1741.15</v>
      </c>
      <c r="H164" s="179">
        <v>1735.46</v>
      </c>
      <c r="I164" s="180">
        <f t="shared" si="77"/>
        <v>5.6900000000000546</v>
      </c>
      <c r="J164" s="179">
        <v>1768.48</v>
      </c>
      <c r="K164" s="177" t="d">
        <v>2021-03-23T16:09:00.00000029336660775</v>
      </c>
      <c r="L164" s="179">
        <v>1735.46</v>
      </c>
      <c r="M164" s="181">
        <f t="shared" si="78"/>
        <v>-5.69</v>
      </c>
      <c r="N164" s="182">
        <f t="shared" si="79"/>
        <v>-1</v>
      </c>
      <c r="O164" s="183">
        <f t="shared" si="80"/>
        <v>0</v>
      </c>
      <c r="P164" s="184">
        <f t="shared" si="81"/>
        <v>0</v>
      </c>
      <c r="Q164" s="184">
        <f t="shared" si="82"/>
        <v>-1</v>
      </c>
      <c r="R16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6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25560</v>
      </c>
      <c r="T16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64" s="186">
        <f ca="1">IF(Tabla33610673489[[#This Row],[Equity]]&lt;Tabla33610673489[[#This Row],[Equity Peak]],(Tabla33610673489[[#This Row],[Equity Peak]]-Tabla33610673489[[#This Row],[Equity]])/Tabla33610673489[[#This Row],[Equity Peak]],"")</f>
        <v>4.1260315078769691E-2</v>
      </c>
      <c r="V164" s="187">
        <f t="shared" si="83"/>
        <v>0</v>
      </c>
      <c r="W164" s="187">
        <f t="shared" si="84"/>
        <v>0</v>
      </c>
      <c r="X164" s="187">
        <f t="shared" si="85"/>
        <v>-1</v>
      </c>
      <c r="Y164" s="187">
        <f t="shared" si="86"/>
        <v>0</v>
      </c>
      <c r="Z164" s="187">
        <f t="shared" si="87"/>
        <v>0</v>
      </c>
      <c r="AA164" s="183">
        <f t="shared" si="88"/>
        <v>0</v>
      </c>
      <c r="AB164" s="187">
        <f t="shared" si="89"/>
        <v>0</v>
      </c>
      <c r="AC164" s="183">
        <f t="shared" si="90"/>
        <v>0</v>
      </c>
      <c r="AD164" s="188">
        <f t="shared" si="91"/>
        <v>0.12083333333430346</v>
      </c>
      <c r="AE164" s="188">
        <f t="shared" si="92"/>
        <v>0</v>
      </c>
      <c r="AF164" s="188">
        <f t="shared" si="93"/>
        <v>0.12083333333430346</v>
      </c>
      <c r="AG164" s="188">
        <f t="shared" si="94"/>
        <v>0</v>
      </c>
    </row>
    <row r="165" spans="2:33" ht="15" customHeight="1" x14ac:dyDescent="0.15">
      <c r="B165" s="174" t="s">
        <v>19</v>
      </c>
      <c r="C165" s="175" t="s">
        <v>15</v>
      </c>
      <c r="D165" s="176" t="str">
        <f t="shared" si="76"/>
        <v>C</v>
      </c>
      <c r="E165" s="177" t="d">
        <v>2021-03-19T09:14:59.99999979045242400</v>
      </c>
      <c r="F165" s="178" t="s">
        <v>77</v>
      </c>
      <c r="G165" s="179">
        <v>1738.26</v>
      </c>
      <c r="H165" s="179">
        <v>1732.29</v>
      </c>
      <c r="I165" s="180">
        <f t="shared" si="77"/>
        <v>5.9700000000000273</v>
      </c>
      <c r="J165" s="179">
        <v>1766.9</v>
      </c>
      <c r="K165" s="177" t="d">
        <v>2021-03-22T04:21:59.99999969266355025</v>
      </c>
      <c r="L165" s="179">
        <v>1733.88</v>
      </c>
      <c r="M165" s="181">
        <f t="shared" si="78"/>
        <v>-4.38</v>
      </c>
      <c r="N165" s="182">
        <f t="shared" si="79"/>
        <v>-0.73</v>
      </c>
      <c r="O165" s="183">
        <f t="shared" si="80"/>
        <v>0</v>
      </c>
      <c r="P165" s="184">
        <f t="shared" si="81"/>
        <v>0</v>
      </c>
      <c r="Q165" s="184">
        <f t="shared" si="82"/>
        <v>-0.73</v>
      </c>
      <c r="R16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6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25810</v>
      </c>
      <c r="T16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65" s="186">
        <f ca="1">IF(Tabla33610673489[[#This Row],[Equity]]&lt;Tabla33610673489[[#This Row],[Equity Peak]],(Tabla33610673489[[#This Row],[Equity Peak]]-Tabla33610673489[[#This Row],[Equity]])/Tabla33610673489[[#This Row],[Equity Peak]],"")</f>
        <v>3.1882970742685673E-2</v>
      </c>
      <c r="V165" s="187">
        <f t="shared" si="83"/>
        <v>0</v>
      </c>
      <c r="W165" s="187">
        <f t="shared" si="84"/>
        <v>0</v>
      </c>
      <c r="X165" s="187">
        <f t="shared" si="85"/>
        <v>-0.73</v>
      </c>
      <c r="Y165" s="187">
        <f t="shared" si="86"/>
        <v>0</v>
      </c>
      <c r="Z165" s="187">
        <f t="shared" si="87"/>
        <v>0</v>
      </c>
      <c r="AA165" s="183">
        <f t="shared" si="88"/>
        <v>0</v>
      </c>
      <c r="AB165" s="187">
        <f t="shared" si="89"/>
        <v>0</v>
      </c>
      <c r="AC165" s="183">
        <f t="shared" si="90"/>
        <v>0</v>
      </c>
      <c r="AD165" s="188">
        <f t="shared" si="91"/>
        <v>2.796527777776646</v>
      </c>
      <c r="AE165" s="188">
        <f t="shared" si="92"/>
        <v>0</v>
      </c>
      <c r="AF165" s="188">
        <f t="shared" si="93"/>
        <v>2.796527777776646</v>
      </c>
      <c r="AG165" s="188">
        <f t="shared" si="94"/>
        <v>0</v>
      </c>
    </row>
    <row r="166" spans="2:33" ht="15" customHeight="1" x14ac:dyDescent="0.15">
      <c r="B166" s="174" t="s">
        <v>19</v>
      </c>
      <c r="C166" s="175" t="s">
        <v>15</v>
      </c>
      <c r="D166" s="176" t="str">
        <f t="shared" si="76"/>
        <v>C</v>
      </c>
      <c r="E166" s="177" t="d">
        <v>2021-03-17T21:14:59.99999979045242400</v>
      </c>
      <c r="F166" s="178" t="s">
        <v>77</v>
      </c>
      <c r="G166" s="179">
        <v>1743.04</v>
      </c>
      <c r="H166" s="179">
        <v>1737.12</v>
      </c>
      <c r="I166" s="180">
        <f t="shared" si="77"/>
        <v>5.9200000000000728</v>
      </c>
      <c r="J166" s="179">
        <v>1771.45</v>
      </c>
      <c r="K166" s="177" t="d">
        <v>2021-03-18T10:24:00.00000008381903175</v>
      </c>
      <c r="L166" s="179">
        <v>1742.97</v>
      </c>
      <c r="M166" s="181">
        <f t="shared" si="78"/>
        <v>-7.0000000000000007E-2</v>
      </c>
      <c r="N166" s="182">
        <f t="shared" si="79"/>
        <v>-0.01</v>
      </c>
      <c r="O166" s="183">
        <f t="shared" si="80"/>
        <v>0</v>
      </c>
      <c r="P166" s="184">
        <f t="shared" si="81"/>
        <v>0</v>
      </c>
      <c r="Q166" s="184">
        <f t="shared" si="82"/>
        <v>-0.01</v>
      </c>
      <c r="R16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6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25992.5</v>
      </c>
      <c r="T16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66" s="186">
        <f ca="1">IF(Tabla33610673489[[#This Row],[Equity]]&lt;Tabla33610673489[[#This Row],[Equity Peak]],(Tabla33610673489[[#This Row],[Equity Peak]]-Tabla33610673489[[#This Row],[Equity]])/Tabla33610673489[[#This Row],[Equity Peak]],"")</f>
        <v>2.5037509377344336E-2</v>
      </c>
      <c r="V166" s="187">
        <f t="shared" si="83"/>
        <v>0</v>
      </c>
      <c r="W166" s="187">
        <f t="shared" si="84"/>
        <v>0</v>
      </c>
      <c r="X166" s="187">
        <f t="shared" si="85"/>
        <v>-0.01</v>
      </c>
      <c r="Y166" s="187">
        <f t="shared" si="86"/>
        <v>0</v>
      </c>
      <c r="Z166" s="187">
        <f t="shared" si="87"/>
        <v>0</v>
      </c>
      <c r="AA166" s="183">
        <f t="shared" si="88"/>
        <v>0</v>
      </c>
      <c r="AB166" s="187">
        <f t="shared" si="89"/>
        <v>0</v>
      </c>
      <c r="AC166" s="183">
        <f t="shared" si="90"/>
        <v>0</v>
      </c>
      <c r="AD166" s="188">
        <f t="shared" si="91"/>
        <v>0.54791666667006211</v>
      </c>
      <c r="AE166" s="188">
        <f t="shared" si="92"/>
        <v>0</v>
      </c>
      <c r="AF166" s="188">
        <f t="shared" si="93"/>
        <v>0.54791666667006211</v>
      </c>
      <c r="AG166" s="188">
        <f t="shared" si="94"/>
        <v>0</v>
      </c>
    </row>
    <row r="167" spans="2:33" ht="15" customHeight="1" x14ac:dyDescent="0.15">
      <c r="B167" s="174" t="s">
        <v>19</v>
      </c>
      <c r="C167" s="175" t="s">
        <v>15</v>
      </c>
      <c r="D167" s="176" t="str">
        <f t="shared" si="76"/>
        <v>C</v>
      </c>
      <c r="E167" s="177" t="d">
        <v>2021-03-12T20:45:00.00000020954757600</v>
      </c>
      <c r="F167" s="178" t="s">
        <v>77</v>
      </c>
      <c r="G167" s="179">
        <v>1722.92</v>
      </c>
      <c r="H167" s="179">
        <v>1716.03</v>
      </c>
      <c r="I167" s="180">
        <f t="shared" si="77"/>
        <v>6.8900000000001</v>
      </c>
      <c r="J167" s="179">
        <v>1755.97</v>
      </c>
      <c r="K167" s="177" t="d">
        <v>2021-03-16T10:03:59.99999994412064550</v>
      </c>
      <c r="L167" s="179">
        <v>1730.23</v>
      </c>
      <c r="M167" s="181">
        <f t="shared" si="78"/>
        <v>7.31</v>
      </c>
      <c r="N167" s="182">
        <f t="shared" si="79"/>
        <v>1.06</v>
      </c>
      <c r="O167" s="183">
        <f t="shared" si="80"/>
        <v>0</v>
      </c>
      <c r="P167" s="184">
        <f t="shared" si="81"/>
        <v>1.06</v>
      </c>
      <c r="Q167" s="184">
        <f t="shared" si="82"/>
        <v>0</v>
      </c>
      <c r="R16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6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25995</v>
      </c>
      <c r="T16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67" s="186">
        <f ca="1">IF(Tabla33610673489[[#This Row],[Equity]]&lt;Tabla33610673489[[#This Row],[Equity Peak]],(Tabla33610673489[[#This Row],[Equity Peak]]-Tabla33610673489[[#This Row],[Equity]])/Tabla33610673489[[#This Row],[Equity Peak]],"")</f>
        <v>2.4943735933983496E-2</v>
      </c>
      <c r="V167" s="187">
        <f t="shared" si="83"/>
        <v>0</v>
      </c>
      <c r="W167" s="187">
        <f t="shared" si="84"/>
        <v>0</v>
      </c>
      <c r="X167" s="187">
        <f t="shared" si="85"/>
        <v>1.06</v>
      </c>
      <c r="Y167" s="187">
        <f t="shared" si="86"/>
        <v>0</v>
      </c>
      <c r="Z167" s="187">
        <f t="shared" si="87"/>
        <v>0</v>
      </c>
      <c r="AA167" s="183">
        <f t="shared" si="88"/>
        <v>0</v>
      </c>
      <c r="AB167" s="187">
        <f t="shared" si="89"/>
        <v>0</v>
      </c>
      <c r="AC167" s="183">
        <f t="shared" si="90"/>
        <v>0</v>
      </c>
      <c r="AD167" s="188">
        <f t="shared" si="91"/>
        <v>3.554861111108039</v>
      </c>
      <c r="AE167" s="188">
        <f t="shared" si="92"/>
        <v>3.554861111108039</v>
      </c>
      <c r="AF167" s="188">
        <f t="shared" si="93"/>
        <v>0</v>
      </c>
      <c r="AG167" s="188">
        <f t="shared" si="94"/>
        <v>0</v>
      </c>
    </row>
    <row r="168" spans="2:33" ht="15" customHeight="1" x14ac:dyDescent="0.15">
      <c r="B168" s="174" t="s">
        <v>19</v>
      </c>
      <c r="C168" s="175" t="s">
        <v>15</v>
      </c>
      <c r="D168" s="176" t="str">
        <f t="shared" si="76"/>
        <v>C</v>
      </c>
      <c r="E168" s="177" t="d">
        <v>2021-03-09T08:45:00.00000020954757600</v>
      </c>
      <c r="F168" s="178" t="s">
        <v>77</v>
      </c>
      <c r="G168" s="179">
        <v>1693.22</v>
      </c>
      <c r="H168" s="179">
        <v>1685.29</v>
      </c>
      <c r="I168" s="180">
        <f t="shared" si="77"/>
        <v>7.9300000000000637</v>
      </c>
      <c r="J168" s="179">
        <v>1731.26</v>
      </c>
      <c r="K168" s="177" t="d">
        <v>2021-03-10T04:09:00.00000029336660775</v>
      </c>
      <c r="L168" s="179">
        <v>1711.31</v>
      </c>
      <c r="M168" s="181">
        <f t="shared" si="78"/>
        <v>18.09</v>
      </c>
      <c r="N168" s="182">
        <f t="shared" si="79"/>
        <v>2.2799999999999998</v>
      </c>
      <c r="O168" s="183">
        <f t="shared" si="80"/>
        <v>0</v>
      </c>
      <c r="P168" s="184">
        <f t="shared" si="81"/>
        <v>2.2799999999999998</v>
      </c>
      <c r="Q168" s="184">
        <f t="shared" si="82"/>
        <v>0</v>
      </c>
      <c r="R16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6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25730</v>
      </c>
      <c r="T16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68" s="186">
        <f ca="1">IF(Tabla33610673489[[#This Row],[Equity]]&lt;Tabla33610673489[[#This Row],[Equity Peak]],(Tabla33610673489[[#This Row],[Equity Peak]]-Tabla33610673489[[#This Row],[Equity]])/Tabla33610673489[[#This Row],[Equity Peak]],"")</f>
        <v>3.4883720930232558E-2</v>
      </c>
      <c r="V168" s="187">
        <f t="shared" si="83"/>
        <v>0</v>
      </c>
      <c r="W168" s="187">
        <f t="shared" si="84"/>
        <v>0</v>
      </c>
      <c r="X168" s="187">
        <f t="shared" si="85"/>
        <v>2.2799999999999998</v>
      </c>
      <c r="Y168" s="187">
        <f t="shared" si="86"/>
        <v>0</v>
      </c>
      <c r="Z168" s="187">
        <f t="shared" si="87"/>
        <v>0</v>
      </c>
      <c r="AA168" s="183">
        <f t="shared" si="88"/>
        <v>0</v>
      </c>
      <c r="AB168" s="187">
        <f t="shared" si="89"/>
        <v>0</v>
      </c>
      <c r="AC168" s="183">
        <f t="shared" si="90"/>
        <v>0</v>
      </c>
      <c r="AD168" s="188">
        <f t="shared" si="91"/>
        <v>0.80833333333430346</v>
      </c>
      <c r="AE168" s="188">
        <f t="shared" si="92"/>
        <v>0.80833333333430346</v>
      </c>
      <c r="AF168" s="188">
        <f t="shared" si="93"/>
        <v>0</v>
      </c>
      <c r="AG168" s="188">
        <f t="shared" si="94"/>
        <v>0</v>
      </c>
    </row>
    <row r="169" spans="2:33" ht="15" customHeight="1" x14ac:dyDescent="0.15">
      <c r="B169" s="174" t="s">
        <v>19</v>
      </c>
      <c r="C169" s="175" t="s">
        <v>15</v>
      </c>
      <c r="D169" s="176" t="str">
        <f t="shared" si="76"/>
        <v>C</v>
      </c>
      <c r="E169" s="177" t="d">
        <v>2021-03-08T01:30:00.000</v>
      </c>
      <c r="F169" s="178" t="s">
        <v>77</v>
      </c>
      <c r="G169" s="179">
        <v>1711.01</v>
      </c>
      <c r="H169" s="179">
        <v>1702.63</v>
      </c>
      <c r="I169" s="180">
        <f t="shared" si="77"/>
        <v>8.3799999999998818</v>
      </c>
      <c r="J169" s="179">
        <v>1751.24</v>
      </c>
      <c r="K169" s="177" t="d">
        <v>2021-03-08T09:07:00.00000011175870900</v>
      </c>
      <c r="L169" s="179">
        <v>1702.63</v>
      </c>
      <c r="M169" s="181">
        <f t="shared" si="78"/>
        <v>-8.3800000000000008</v>
      </c>
      <c r="N169" s="182">
        <f t="shared" si="79"/>
        <v>-1</v>
      </c>
      <c r="O169" s="183">
        <f t="shared" si="80"/>
        <v>0</v>
      </c>
      <c r="P169" s="184">
        <f t="shared" si="81"/>
        <v>0</v>
      </c>
      <c r="Q169" s="184">
        <f t="shared" si="82"/>
        <v>-1</v>
      </c>
      <c r="R16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6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25160</v>
      </c>
      <c r="T16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69" s="186">
        <f ca="1">IF(Tabla33610673489[[#This Row],[Equity]]&lt;Tabla33610673489[[#This Row],[Equity Peak]],(Tabla33610673489[[#This Row],[Equity Peak]]-Tabla33610673489[[#This Row],[Equity]])/Tabla33610673489[[#This Row],[Equity Peak]],"")</f>
        <v>5.6264066016504126E-2</v>
      </c>
      <c r="V169" s="187">
        <f t="shared" si="83"/>
        <v>0</v>
      </c>
      <c r="W169" s="187">
        <f t="shared" si="84"/>
        <v>0</v>
      </c>
      <c r="X169" s="187">
        <f t="shared" si="85"/>
        <v>-1</v>
      </c>
      <c r="Y169" s="187">
        <f t="shared" si="86"/>
        <v>0</v>
      </c>
      <c r="Z169" s="187">
        <f t="shared" si="87"/>
        <v>0</v>
      </c>
      <c r="AA169" s="183">
        <f t="shared" si="88"/>
        <v>0</v>
      </c>
      <c r="AB169" s="187">
        <f t="shared" si="89"/>
        <v>0</v>
      </c>
      <c r="AC169" s="183">
        <f t="shared" si="90"/>
        <v>0</v>
      </c>
      <c r="AD169" s="188">
        <f t="shared" si="91"/>
        <v>0.31736111111240461</v>
      </c>
      <c r="AE169" s="188">
        <f t="shared" si="92"/>
        <v>0</v>
      </c>
      <c r="AF169" s="188">
        <f t="shared" si="93"/>
        <v>0.31736111111240461</v>
      </c>
      <c r="AG169" s="188">
        <f t="shared" si="94"/>
        <v>0</v>
      </c>
    </row>
    <row r="170" spans="2:33" ht="15" customHeight="1" x14ac:dyDescent="0.15">
      <c r="B170" s="174" t="s">
        <v>19</v>
      </c>
      <c r="C170" s="175" t="s">
        <v>15</v>
      </c>
      <c r="D170" s="176" t="str">
        <f t="shared" si="76"/>
        <v>C</v>
      </c>
      <c r="E170" s="177" t="d">
        <v>2021-03-05T16:30:00.000</v>
      </c>
      <c r="F170" s="178" t="s">
        <v>77</v>
      </c>
      <c r="G170" s="179">
        <v>1703.56</v>
      </c>
      <c r="H170" s="179">
        <v>1695.03</v>
      </c>
      <c r="I170" s="180">
        <f t="shared" si="77"/>
        <v>8.5299999999999727</v>
      </c>
      <c r="J170" s="179">
        <v>1744.52</v>
      </c>
      <c r="K170" s="177" t="d">
        <v>2021-03-05T16:50:59.99999970663339225</v>
      </c>
      <c r="L170" s="179">
        <v>1695.03</v>
      </c>
      <c r="M170" s="181">
        <f t="shared" si="78"/>
        <v>-8.5299999999999994</v>
      </c>
      <c r="N170" s="182">
        <f t="shared" si="79"/>
        <v>-1</v>
      </c>
      <c r="O170" s="183">
        <f t="shared" si="80"/>
        <v>0</v>
      </c>
      <c r="P170" s="184">
        <f t="shared" si="81"/>
        <v>0</v>
      </c>
      <c r="Q170" s="184">
        <f t="shared" si="82"/>
        <v>-1</v>
      </c>
      <c r="R17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25410</v>
      </c>
      <c r="T17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70" s="186">
        <f ca="1">IF(Tabla33610673489[[#This Row],[Equity]]&lt;Tabla33610673489[[#This Row],[Equity Peak]],(Tabla33610673489[[#This Row],[Equity Peak]]-Tabla33610673489[[#This Row],[Equity]])/Tabla33610673489[[#This Row],[Equity Peak]],"")</f>
        <v>4.6886721680420108E-2</v>
      </c>
      <c r="V170" s="187">
        <f t="shared" si="83"/>
        <v>0</v>
      </c>
      <c r="W170" s="187">
        <f t="shared" si="84"/>
        <v>0</v>
      </c>
      <c r="X170" s="187">
        <f t="shared" si="85"/>
        <v>-1</v>
      </c>
      <c r="Y170" s="187">
        <f t="shared" si="86"/>
        <v>0</v>
      </c>
      <c r="Z170" s="187">
        <f t="shared" si="87"/>
        <v>0</v>
      </c>
      <c r="AA170" s="183">
        <f t="shared" si="88"/>
        <v>0</v>
      </c>
      <c r="AB170" s="187">
        <f t="shared" si="89"/>
        <v>0</v>
      </c>
      <c r="AC170" s="183">
        <f t="shared" si="90"/>
        <v>0</v>
      </c>
      <c r="AD170" s="188">
        <f t="shared" si="91"/>
        <v>1.4583333329937886E-2</v>
      </c>
      <c r="AE170" s="188">
        <f t="shared" si="92"/>
        <v>0</v>
      </c>
      <c r="AF170" s="188">
        <f t="shared" si="93"/>
        <v>1.4583333329937886E-2</v>
      </c>
      <c r="AG170" s="188">
        <f t="shared" si="94"/>
        <v>0</v>
      </c>
    </row>
    <row r="171" spans="2:33" ht="15" customHeight="1" x14ac:dyDescent="0.15">
      <c r="B171" s="174" t="s">
        <v>19</v>
      </c>
      <c r="C171" s="175" t="s">
        <v>15</v>
      </c>
      <c r="D171" s="176" t="str">
        <f t="shared" si="76"/>
        <v>C</v>
      </c>
      <c r="E171" s="177" t="d">
        <v>2021-03-04T09:14:59.99999979045242400</v>
      </c>
      <c r="F171" s="178" t="s">
        <v>77</v>
      </c>
      <c r="G171" s="179">
        <v>1720.99</v>
      </c>
      <c r="H171" s="179">
        <v>1712.48</v>
      </c>
      <c r="I171" s="180">
        <f t="shared" si="77"/>
        <v>8.5099999999999909</v>
      </c>
      <c r="J171" s="179">
        <v>1761.83</v>
      </c>
      <c r="K171" s="177" t="d">
        <v>2021-03-04T10:54:00.00000029336660775</v>
      </c>
      <c r="L171" s="179">
        <v>1712.48</v>
      </c>
      <c r="M171" s="181">
        <f t="shared" si="78"/>
        <v>-8.51</v>
      </c>
      <c r="N171" s="182">
        <f t="shared" si="79"/>
        <v>-1</v>
      </c>
      <c r="O171" s="183">
        <f t="shared" si="80"/>
        <v>0</v>
      </c>
      <c r="P171" s="184">
        <f t="shared" si="81"/>
        <v>0</v>
      </c>
      <c r="Q171" s="184">
        <f t="shared" si="82"/>
        <v>-1</v>
      </c>
      <c r="R17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25660</v>
      </c>
      <c r="T17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71" s="186">
        <f ca="1">IF(Tabla33610673489[[#This Row],[Equity]]&lt;Tabla33610673489[[#This Row],[Equity Peak]],(Tabla33610673489[[#This Row],[Equity Peak]]-Tabla33610673489[[#This Row],[Equity]])/Tabla33610673489[[#This Row],[Equity Peak]],"")</f>
        <v>3.7509377344336084E-2</v>
      </c>
      <c r="V171" s="187">
        <f t="shared" si="83"/>
        <v>0</v>
      </c>
      <c r="W171" s="187">
        <f t="shared" si="84"/>
        <v>0</v>
      </c>
      <c r="X171" s="187">
        <f t="shared" si="85"/>
        <v>-1</v>
      </c>
      <c r="Y171" s="187">
        <f t="shared" si="86"/>
        <v>0</v>
      </c>
      <c r="Z171" s="187">
        <f t="shared" si="87"/>
        <v>0</v>
      </c>
      <c r="AA171" s="183">
        <f t="shared" si="88"/>
        <v>0</v>
      </c>
      <c r="AB171" s="187">
        <f t="shared" si="89"/>
        <v>0</v>
      </c>
      <c r="AC171" s="183">
        <f t="shared" si="90"/>
        <v>0</v>
      </c>
      <c r="AD171" s="188">
        <f t="shared" si="91"/>
        <v>6.8750000005820766E-2</v>
      </c>
      <c r="AE171" s="188">
        <f t="shared" si="92"/>
        <v>0</v>
      </c>
      <c r="AF171" s="188">
        <f t="shared" si="93"/>
        <v>6.8750000005820766E-2</v>
      </c>
      <c r="AG171" s="188">
        <f t="shared" si="94"/>
        <v>0</v>
      </c>
    </row>
    <row r="172" spans="2:33" ht="15" customHeight="1" x14ac:dyDescent="0.15">
      <c r="B172" s="174" t="s">
        <v>19</v>
      </c>
      <c r="C172" s="175" t="s">
        <v>15</v>
      </c>
      <c r="D172" s="176" t="str">
        <f t="shared" si="76"/>
        <v>C</v>
      </c>
      <c r="E172" s="177" t="d">
        <v>2021-03-03T01:30:00.000</v>
      </c>
      <c r="F172" s="178" t="s">
        <v>77</v>
      </c>
      <c r="G172" s="179">
        <v>1739.45</v>
      </c>
      <c r="H172" s="179">
        <v>1731.17</v>
      </c>
      <c r="I172" s="180">
        <f t="shared" si="77"/>
        <v>8.2799999999999727</v>
      </c>
      <c r="J172" s="179">
        <v>1779.21</v>
      </c>
      <c r="K172" s="177" t="d">
        <v>2021-03-03T03:30:00.00000020954757600</v>
      </c>
      <c r="L172" s="179">
        <v>1731.17</v>
      </c>
      <c r="M172" s="181">
        <f t="shared" si="78"/>
        <v>-8.2799999999999994</v>
      </c>
      <c r="N172" s="182">
        <f t="shared" si="79"/>
        <v>-1</v>
      </c>
      <c r="O172" s="183">
        <f t="shared" si="80"/>
        <v>0</v>
      </c>
      <c r="P172" s="184">
        <f t="shared" si="81"/>
        <v>0</v>
      </c>
      <c r="Q172" s="184">
        <f t="shared" si="82"/>
        <v>-1</v>
      </c>
      <c r="R17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25910</v>
      </c>
      <c r="T17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72" s="186">
        <f ca="1">IF(Tabla33610673489[[#This Row],[Equity]]&lt;Tabla33610673489[[#This Row],[Equity Peak]],(Tabla33610673489[[#This Row],[Equity Peak]]-Tabla33610673489[[#This Row],[Equity]])/Tabla33610673489[[#This Row],[Equity Peak]],"")</f>
        <v>2.8132033008252063E-2</v>
      </c>
      <c r="V172" s="187">
        <f t="shared" si="83"/>
        <v>0</v>
      </c>
      <c r="W172" s="187">
        <f t="shared" si="84"/>
        <v>0</v>
      </c>
      <c r="X172" s="187">
        <f t="shared" si="85"/>
        <v>-1</v>
      </c>
      <c r="Y172" s="187">
        <f t="shared" si="86"/>
        <v>0</v>
      </c>
      <c r="Z172" s="187">
        <f t="shared" si="87"/>
        <v>0</v>
      </c>
      <c r="AA172" s="183">
        <f t="shared" si="88"/>
        <v>0</v>
      </c>
      <c r="AB172" s="187">
        <f t="shared" si="89"/>
        <v>0</v>
      </c>
      <c r="AC172" s="183">
        <f t="shared" si="90"/>
        <v>0</v>
      </c>
      <c r="AD172" s="188">
        <f t="shared" si="91"/>
        <v>8.3333333335758653E-2</v>
      </c>
      <c r="AE172" s="188">
        <f t="shared" si="92"/>
        <v>0</v>
      </c>
      <c r="AF172" s="188">
        <f t="shared" si="93"/>
        <v>8.3333333335758653E-2</v>
      </c>
      <c r="AG172" s="188">
        <f t="shared" si="94"/>
        <v>0</v>
      </c>
    </row>
    <row r="173" spans="2:33" ht="15" customHeight="1" x14ac:dyDescent="0.15">
      <c r="B173" s="174" t="s">
        <v>19</v>
      </c>
      <c r="C173" s="175" t="s">
        <v>15</v>
      </c>
      <c r="D173" s="176" t="str">
        <f t="shared" si="76"/>
        <v>C</v>
      </c>
      <c r="E173" s="177" t="d">
        <v>2021-03-02T12:45:00.000</v>
      </c>
      <c r="F173" s="178" t="s">
        <v>77</v>
      </c>
      <c r="G173" s="179">
        <v>1730.16</v>
      </c>
      <c r="H173" s="179">
        <v>1722.03</v>
      </c>
      <c r="I173" s="180">
        <f t="shared" si="77"/>
        <v>8.1300000000001091</v>
      </c>
      <c r="J173" s="179">
        <v>1769.17</v>
      </c>
      <c r="K173" s="177" t="d">
        <v>2021-03-02T16:38:59.99999987427145575</v>
      </c>
      <c r="L173" s="179">
        <v>1722.03</v>
      </c>
      <c r="M173" s="181">
        <f t="shared" si="78"/>
        <v>-8.1300000000000008</v>
      </c>
      <c r="N173" s="182">
        <f t="shared" si="79"/>
        <v>-1</v>
      </c>
      <c r="O173" s="183">
        <f t="shared" si="80"/>
        <v>0</v>
      </c>
      <c r="P173" s="184">
        <f t="shared" si="81"/>
        <v>0</v>
      </c>
      <c r="Q173" s="184">
        <f t="shared" si="82"/>
        <v>-1</v>
      </c>
      <c r="R17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26160</v>
      </c>
      <c r="T17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73" s="186">
        <f ca="1">IF(Tabla33610673489[[#This Row],[Equity]]&lt;Tabla33610673489[[#This Row],[Equity Peak]],(Tabla33610673489[[#This Row],[Equity Peak]]-Tabla33610673489[[#This Row],[Equity]])/Tabla33610673489[[#This Row],[Equity Peak]],"")</f>
        <v>1.8754688672168042E-2</v>
      </c>
      <c r="V173" s="187">
        <f t="shared" si="83"/>
        <v>0</v>
      </c>
      <c r="W173" s="187">
        <f t="shared" si="84"/>
        <v>0</v>
      </c>
      <c r="X173" s="187">
        <f t="shared" si="85"/>
        <v>-1</v>
      </c>
      <c r="Y173" s="187">
        <f t="shared" si="86"/>
        <v>0</v>
      </c>
      <c r="Z173" s="187">
        <f t="shared" si="87"/>
        <v>0</v>
      </c>
      <c r="AA173" s="183">
        <f t="shared" si="88"/>
        <v>0</v>
      </c>
      <c r="AB173" s="187">
        <f t="shared" si="89"/>
        <v>0</v>
      </c>
      <c r="AC173" s="183">
        <f t="shared" si="90"/>
        <v>0</v>
      </c>
      <c r="AD173" s="188">
        <f t="shared" si="91"/>
        <v>0.16249999999854481</v>
      </c>
      <c r="AE173" s="188">
        <f t="shared" si="92"/>
        <v>0</v>
      </c>
      <c r="AF173" s="188">
        <f t="shared" si="93"/>
        <v>0.16249999999854481</v>
      </c>
      <c r="AG173" s="188">
        <f t="shared" si="94"/>
        <v>0</v>
      </c>
    </row>
    <row r="174" spans="2:33" ht="15" customHeight="1" x14ac:dyDescent="0.15">
      <c r="B174" s="174" t="s">
        <v>19</v>
      </c>
      <c r="C174" s="175" t="s">
        <v>15</v>
      </c>
      <c r="D174" s="176" t="str">
        <f t="shared" si="76"/>
        <v>C</v>
      </c>
      <c r="E174" s="177" t="d">
        <v>2021-03-01T08:15:00.000</v>
      </c>
      <c r="F174" s="178" t="s">
        <v>77</v>
      </c>
      <c r="G174" s="179">
        <v>1753.23</v>
      </c>
      <c r="H174" s="179">
        <v>1745.49</v>
      </c>
      <c r="I174" s="180">
        <f t="shared" si="77"/>
        <v>7.7400000000000091</v>
      </c>
      <c r="J174" s="179">
        <v>1790.36</v>
      </c>
      <c r="K174" s="177" t="d">
        <v>2021-03-01T11:39:00.00000029336660775</v>
      </c>
      <c r="L174" s="179">
        <v>1745.49</v>
      </c>
      <c r="M174" s="181">
        <f t="shared" si="78"/>
        <v>-7.74</v>
      </c>
      <c r="N174" s="182">
        <f t="shared" si="79"/>
        <v>-1</v>
      </c>
      <c r="O174" s="183">
        <f t="shared" si="80"/>
        <v>0</v>
      </c>
      <c r="P174" s="184">
        <f t="shared" si="81"/>
        <v>0</v>
      </c>
      <c r="Q174" s="184">
        <f t="shared" si="82"/>
        <v>-1</v>
      </c>
      <c r="R17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26410</v>
      </c>
      <c r="T17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74" s="186">
        <f ca="1">IF(Tabla33610673489[[#This Row],[Equity]]&lt;Tabla33610673489[[#This Row],[Equity Peak]],(Tabla33610673489[[#This Row],[Equity Peak]]-Tabla33610673489[[#This Row],[Equity]])/Tabla33610673489[[#This Row],[Equity Peak]],"")</f>
        <v>9.377344336084021E-3</v>
      </c>
      <c r="V174" s="187">
        <f t="shared" si="83"/>
        <v>0</v>
      </c>
      <c r="W174" s="187">
        <f t="shared" si="84"/>
        <v>0</v>
      </c>
      <c r="X174" s="187">
        <f t="shared" si="85"/>
        <v>-1</v>
      </c>
      <c r="Y174" s="187">
        <f t="shared" si="86"/>
        <v>0</v>
      </c>
      <c r="Z174" s="187">
        <f t="shared" si="87"/>
        <v>0</v>
      </c>
      <c r="AA174" s="183">
        <f t="shared" si="88"/>
        <v>0</v>
      </c>
      <c r="AB174" s="187">
        <f t="shared" si="89"/>
        <v>0</v>
      </c>
      <c r="AC174" s="183">
        <f t="shared" si="90"/>
        <v>0</v>
      </c>
      <c r="AD174" s="188">
        <f t="shared" si="91"/>
        <v>0.14166666667006211</v>
      </c>
      <c r="AE174" s="188">
        <f t="shared" si="92"/>
        <v>0</v>
      </c>
      <c r="AF174" s="188">
        <f t="shared" si="93"/>
        <v>0.14166666667006211</v>
      </c>
      <c r="AG174" s="188">
        <f t="shared" si="94"/>
        <v>0</v>
      </c>
    </row>
    <row r="175" spans="2:33" ht="15" customHeight="1" x14ac:dyDescent="0.15">
      <c r="B175" s="174" t="s">
        <v>19</v>
      </c>
      <c r="C175" s="175" t="s">
        <v>15</v>
      </c>
      <c r="D175" s="176" t="str">
        <f t="shared" si="76"/>
        <v>C</v>
      </c>
      <c r="E175" s="177" t="d">
        <v>2021-02-19T15:59:59.99999979045242400</v>
      </c>
      <c r="F175" s="178" t="s">
        <v>77</v>
      </c>
      <c r="G175" s="179">
        <v>1783.44</v>
      </c>
      <c r="H175" s="179">
        <v>1776.98</v>
      </c>
      <c r="I175" s="180">
        <f t="shared" si="77"/>
        <v>6.4600000000000364</v>
      </c>
      <c r="J175" s="179">
        <v>1814.43</v>
      </c>
      <c r="K175" s="177" t="d">
        <v>2021-02-23T04:37:00.00000011175870900</v>
      </c>
      <c r="L175" s="179">
        <v>1814.43</v>
      </c>
      <c r="M175" s="181">
        <f t="shared" si="78"/>
        <v>30.99</v>
      </c>
      <c r="N175" s="182">
        <f t="shared" si="79"/>
        <v>4.8</v>
      </c>
      <c r="O175" s="183">
        <f t="shared" si="80"/>
        <v>0</v>
      </c>
      <c r="P175" s="184">
        <f t="shared" si="81"/>
        <v>4.8</v>
      </c>
      <c r="Q175" s="184">
        <f t="shared" si="82"/>
        <v>0</v>
      </c>
      <c r="R17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26660</v>
      </c>
      <c r="T17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26660</v>
      </c>
      <c r="U175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75" s="187">
        <f t="shared" si="83"/>
        <v>0</v>
      </c>
      <c r="W175" s="187">
        <f t="shared" si="84"/>
        <v>0</v>
      </c>
      <c r="X175" s="187">
        <f t="shared" si="85"/>
        <v>4.8</v>
      </c>
      <c r="Y175" s="187">
        <f t="shared" si="86"/>
        <v>0</v>
      </c>
      <c r="Z175" s="187">
        <f t="shared" si="87"/>
        <v>0</v>
      </c>
      <c r="AA175" s="183">
        <f t="shared" si="88"/>
        <v>0</v>
      </c>
      <c r="AB175" s="187">
        <f t="shared" si="89"/>
        <v>0</v>
      </c>
      <c r="AC175" s="183">
        <f t="shared" si="90"/>
        <v>0</v>
      </c>
      <c r="AD175" s="188">
        <f t="shared" si="91"/>
        <v>3.5256944444481633</v>
      </c>
      <c r="AE175" s="188">
        <f t="shared" si="92"/>
        <v>3.5256944444481633</v>
      </c>
      <c r="AF175" s="188">
        <f t="shared" si="93"/>
        <v>0</v>
      </c>
      <c r="AG175" s="188">
        <f t="shared" si="94"/>
        <v>0</v>
      </c>
    </row>
    <row r="176" spans="2:33" ht="15" customHeight="1" x14ac:dyDescent="0.15">
      <c r="B176" s="174" t="s">
        <v>19</v>
      </c>
      <c r="C176" s="175" t="s">
        <v>15</v>
      </c>
      <c r="D176" s="176" t="str">
        <f t="shared" si="76"/>
        <v>C</v>
      </c>
      <c r="E176" s="177" t="d">
        <v>2021-02-18T11:00:00.00000020954757600</v>
      </c>
      <c r="F176" s="178" t="s">
        <v>77</v>
      </c>
      <c r="G176" s="179">
        <v>1787.92</v>
      </c>
      <c r="H176" s="179">
        <v>1782.05</v>
      </c>
      <c r="I176" s="180">
        <f t="shared" si="77"/>
        <v>5.8700000000001182</v>
      </c>
      <c r="J176" s="179">
        <v>1816.08</v>
      </c>
      <c r="K176" s="177" t="d">
        <v>2021-02-18T12:24:00.00000029336660775</v>
      </c>
      <c r="L176" s="179">
        <v>1782.05</v>
      </c>
      <c r="M176" s="181">
        <f t="shared" si="78"/>
        <v>-5.87</v>
      </c>
      <c r="N176" s="182">
        <f t="shared" si="79"/>
        <v>-1</v>
      </c>
      <c r="O176" s="183">
        <f t="shared" si="80"/>
        <v>0</v>
      </c>
      <c r="P176" s="184">
        <f t="shared" si="81"/>
        <v>0</v>
      </c>
      <c r="Q176" s="184">
        <f t="shared" si="82"/>
        <v>-1</v>
      </c>
      <c r="R17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25460</v>
      </c>
      <c r="T17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26210</v>
      </c>
      <c r="U176" s="186">
        <f ca="1">IF(Tabla33610673489[[#This Row],[Equity]]&lt;Tabla33610673489[[#This Row],[Equity Peak]],(Tabla33610673489[[#This Row],[Equity Peak]]-Tabla33610673489[[#This Row],[Equity]])/Tabla33610673489[[#This Row],[Equity Peak]],"")</f>
        <v>2.8615032430370089E-2</v>
      </c>
      <c r="V176" s="187">
        <f t="shared" si="83"/>
        <v>0</v>
      </c>
      <c r="W176" s="187">
        <f t="shared" si="84"/>
        <v>0</v>
      </c>
      <c r="X176" s="187">
        <f t="shared" si="85"/>
        <v>-1</v>
      </c>
      <c r="Y176" s="187">
        <f t="shared" si="86"/>
        <v>0</v>
      </c>
      <c r="Z176" s="187">
        <f t="shared" si="87"/>
        <v>0</v>
      </c>
      <c r="AA176" s="183">
        <f t="shared" si="88"/>
        <v>0</v>
      </c>
      <c r="AB176" s="187">
        <f t="shared" si="89"/>
        <v>0</v>
      </c>
      <c r="AC176" s="183">
        <f t="shared" si="90"/>
        <v>0</v>
      </c>
      <c r="AD176" s="188">
        <f t="shared" si="91"/>
        <v>5.8333333334303461E-2</v>
      </c>
      <c r="AE176" s="188">
        <f t="shared" si="92"/>
        <v>0</v>
      </c>
      <c r="AF176" s="188">
        <f t="shared" si="93"/>
        <v>5.8333333334303461E-2</v>
      </c>
      <c r="AG176" s="188">
        <f t="shared" si="94"/>
        <v>0</v>
      </c>
    </row>
    <row r="177" spans="2:33" ht="15" customHeight="1" x14ac:dyDescent="0.15">
      <c r="B177" s="174" t="s">
        <v>19</v>
      </c>
      <c r="C177" s="175" t="s">
        <v>15</v>
      </c>
      <c r="D177" s="176" t="str">
        <f t="shared" ref="D177:D192" si="95">IF(E177&lt;&gt;"",IF(K177&lt;&gt;"","C","O"),"")</f>
        <v>C</v>
      </c>
      <c r="E177" s="177" t="d">
        <v>2021-02-16T03:45:00.000</v>
      </c>
      <c r="F177" s="178" t="s">
        <v>77</v>
      </c>
      <c r="G177" s="179">
        <v>1824.61</v>
      </c>
      <c r="H177" s="179">
        <v>1819.13</v>
      </c>
      <c r="I177" s="180">
        <f t="shared" ref="I177:I192" si="96">ABS(G177-H177)</f>
        <v>5.4799999999997908</v>
      </c>
      <c r="J177" s="179">
        <v>1850.91</v>
      </c>
      <c r="K177" s="177" t="d">
        <v>2021-02-16T09:46:00.00000019557774075</v>
      </c>
      <c r="L177" s="179">
        <v>1819.13</v>
      </c>
      <c r="M177" s="181">
        <f t="shared" ref="M177:M192" si="97">ROUND(IF(C177="L",(L177-G177),(G177-L177)),4)</f>
        <v>-5.48</v>
      </c>
      <c r="N177" s="182">
        <f t="shared" ref="N177:N192" si="98">IFERROR(ROUND((M177/I177),2),"")</f>
        <v>-1</v>
      </c>
      <c r="O177" s="183">
        <f t="shared" ref="O177:O192" si="99">IF(D177="O",IF(N177&lt;0,N177,0),0)</f>
        <v>0</v>
      </c>
      <c r="P177" s="184">
        <f t="shared" ref="P177:P192" si="100">IF(N177&gt;= 0,N177,0)</f>
        <v>0</v>
      </c>
      <c r="Q177" s="184">
        <f t="shared" ref="Q177:Q192" si="101">IF(N177&lt;0,N177,0)</f>
        <v>-1</v>
      </c>
      <c r="R17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25710</v>
      </c>
      <c r="T17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26210</v>
      </c>
      <c r="U177" s="186">
        <f ca="1">IF(Tabla33610673489[[#This Row],[Equity]]&lt;Tabla33610673489[[#This Row],[Equity Peak]],(Tabla33610673489[[#This Row],[Equity Peak]]-Tabla33610673489[[#This Row],[Equity]])/Tabla33610673489[[#This Row],[Equity Peak]],"")</f>
        <v>1.907668828691339E-2</v>
      </c>
      <c r="V177" s="187">
        <f t="shared" ref="V177:V192" si="102">IF(B177="FX",N177,0)</f>
        <v>0</v>
      </c>
      <c r="W177" s="187">
        <f t="shared" ref="W177:W192" si="103">IF(D177="O",IF(V177&lt;0,V177,0),0)</f>
        <v>0</v>
      </c>
      <c r="X177" s="187">
        <f t="shared" ref="X177:X192" si="104">IF(B177="COM",N177,0)</f>
        <v>-1</v>
      </c>
      <c r="Y177" s="187">
        <f t="shared" ref="Y177:Y192" si="105">IF(D177="O",IF(X177&lt;0,X177,0),0)</f>
        <v>0</v>
      </c>
      <c r="Z177" s="187">
        <f t="shared" ref="Z177:Z192" si="106">IF(B177="IND",N177,0)</f>
        <v>0</v>
      </c>
      <c r="AA177" s="183">
        <f t="shared" ref="AA177:AA192" si="107">IF(D177="O",IF(Z177&lt;0,Z177,0),0)</f>
        <v>0</v>
      </c>
      <c r="AB177" s="187">
        <f t="shared" ref="AB177:AB192" si="108">IF(B177="CRYPTO",N177,0)</f>
        <v>0</v>
      </c>
      <c r="AC177" s="183">
        <f t="shared" ref="AC177:AC192" si="109">IF(D177="O",IF(AB177&lt;0,AB177,0),0)</f>
        <v>0</v>
      </c>
      <c r="AD177" s="188">
        <f t="shared" ref="AD177:AD192" si="110">IF(K177&lt;&gt;"",K177-E177,0)</f>
        <v>0.25069444444670808</v>
      </c>
      <c r="AE177" s="188">
        <f t="shared" ref="AE177:AE192" si="111">IF(N177&gt;0,AD177,0)</f>
        <v>0</v>
      </c>
      <c r="AF177" s="188">
        <f t="shared" ref="AF177:AF192" si="112">IF(N177&lt;0,AD177,0)</f>
        <v>0.25069444444670808</v>
      </c>
      <c r="AG177" s="188">
        <f t="shared" ref="AG177:AG192" si="113">IF(N177=0,AD177,0)</f>
        <v>0</v>
      </c>
    </row>
    <row r="178" spans="2:33" ht="15" customHeight="1" x14ac:dyDescent="0.15">
      <c r="B178" s="174" t="s">
        <v>19</v>
      </c>
      <c r="C178" s="175" t="s">
        <v>15</v>
      </c>
      <c r="D178" s="176" t="str">
        <f t="shared" si="95"/>
        <v>C</v>
      </c>
      <c r="E178" s="177" t="d">
        <v>2021-02-12T18:00:00.000</v>
      </c>
      <c r="F178" s="178" t="s">
        <v>77</v>
      </c>
      <c r="G178" s="179">
        <v>1828.43</v>
      </c>
      <c r="H178" s="179">
        <v>1822.49</v>
      </c>
      <c r="I178" s="180">
        <f t="shared" si="96"/>
        <v>5.9400000000000546</v>
      </c>
      <c r="J178" s="179">
        <v>1856.96</v>
      </c>
      <c r="K178" s="177" t="d">
        <v>2021-02-12T19:38:59.99999987427145575</v>
      </c>
      <c r="L178" s="179">
        <v>1822.49</v>
      </c>
      <c r="M178" s="181">
        <f t="shared" si="97"/>
        <v>-5.94</v>
      </c>
      <c r="N178" s="182">
        <f t="shared" si="98"/>
        <v>-1</v>
      </c>
      <c r="O178" s="183">
        <f t="shared" si="99"/>
        <v>0</v>
      </c>
      <c r="P178" s="184">
        <f t="shared" si="100"/>
        <v>0</v>
      </c>
      <c r="Q178" s="184">
        <f t="shared" si="101"/>
        <v>-1</v>
      </c>
      <c r="R17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25960</v>
      </c>
      <c r="T17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26210</v>
      </c>
      <c r="U178" s="186">
        <f ca="1">IF(Tabla33610673489[[#This Row],[Equity]]&lt;Tabla33610673489[[#This Row],[Equity Peak]],(Tabla33610673489[[#This Row],[Equity Peak]]-Tabla33610673489[[#This Row],[Equity]])/Tabla33610673489[[#This Row],[Equity Peak]],"")</f>
        <v>9.5383441434566951E-3</v>
      </c>
      <c r="V178" s="187">
        <f t="shared" si="102"/>
        <v>0</v>
      </c>
      <c r="W178" s="187">
        <f t="shared" si="103"/>
        <v>0</v>
      </c>
      <c r="X178" s="187">
        <f t="shared" si="104"/>
        <v>-1</v>
      </c>
      <c r="Y178" s="187">
        <f t="shared" si="105"/>
        <v>0</v>
      </c>
      <c r="Z178" s="187">
        <f t="shared" si="106"/>
        <v>0</v>
      </c>
      <c r="AA178" s="183">
        <f t="shared" si="107"/>
        <v>0</v>
      </c>
      <c r="AB178" s="187">
        <f t="shared" si="108"/>
        <v>0</v>
      </c>
      <c r="AC178" s="183">
        <f t="shared" si="109"/>
        <v>0</v>
      </c>
      <c r="AD178" s="188">
        <f t="shared" si="110"/>
        <v>6.8749999998544808E-2</v>
      </c>
      <c r="AE178" s="188">
        <f t="shared" si="111"/>
        <v>0</v>
      </c>
      <c r="AF178" s="188">
        <f t="shared" si="112"/>
        <v>6.8749999998544808E-2</v>
      </c>
      <c r="AG178" s="188">
        <f t="shared" si="113"/>
        <v>0</v>
      </c>
    </row>
    <row r="179" spans="2:33" ht="15" customHeight="1" x14ac:dyDescent="0.15">
      <c r="B179" s="174" t="s">
        <v>19</v>
      </c>
      <c r="C179" s="175" t="s">
        <v>15</v>
      </c>
      <c r="D179" s="176" t="str">
        <f t="shared" si="95"/>
        <v>C</v>
      </c>
      <c r="E179" s="177" t="d">
        <v>2021-02-05T18:59:59.99999979045242400</v>
      </c>
      <c r="F179" s="178" t="s">
        <v>77</v>
      </c>
      <c r="G179" s="179">
        <v>1813.07</v>
      </c>
      <c r="H179" s="179">
        <v>1805.23</v>
      </c>
      <c r="I179" s="180">
        <f t="shared" si="96"/>
        <v>7.8399999999999181</v>
      </c>
      <c r="J179" s="179">
        <v>1850.7</v>
      </c>
      <c r="K179" s="177" t="d">
        <v>2021-02-08T21:07:00.00000011175870900</v>
      </c>
      <c r="L179" s="179">
        <v>1830.9</v>
      </c>
      <c r="M179" s="181">
        <f t="shared" si="97"/>
        <v>17.829999999999998</v>
      </c>
      <c r="N179" s="182">
        <f t="shared" si="98"/>
        <v>2.27</v>
      </c>
      <c r="O179" s="183">
        <f t="shared" si="99"/>
        <v>0</v>
      </c>
      <c r="P179" s="184">
        <f t="shared" si="100"/>
        <v>2.27</v>
      </c>
      <c r="Q179" s="184">
        <f t="shared" si="101"/>
        <v>0</v>
      </c>
      <c r="R17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26210</v>
      </c>
      <c r="T17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26210</v>
      </c>
      <c r="U179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79" s="187">
        <f t="shared" si="102"/>
        <v>0</v>
      </c>
      <c r="W179" s="187">
        <f t="shared" si="103"/>
        <v>0</v>
      </c>
      <c r="X179" s="187">
        <f t="shared" si="104"/>
        <v>2.27</v>
      </c>
      <c r="Y179" s="187">
        <f t="shared" si="105"/>
        <v>0</v>
      </c>
      <c r="Z179" s="187">
        <f t="shared" si="106"/>
        <v>0</v>
      </c>
      <c r="AA179" s="183">
        <f t="shared" si="107"/>
        <v>0</v>
      </c>
      <c r="AB179" s="187">
        <f t="shared" si="108"/>
        <v>0</v>
      </c>
      <c r="AC179" s="183">
        <f t="shared" si="109"/>
        <v>0</v>
      </c>
      <c r="AD179" s="188">
        <f t="shared" si="110"/>
        <v>3.0881944444481633</v>
      </c>
      <c r="AE179" s="188">
        <f t="shared" si="111"/>
        <v>3.0881944444481633</v>
      </c>
      <c r="AF179" s="188">
        <f t="shared" si="112"/>
        <v>0</v>
      </c>
      <c r="AG179" s="188">
        <f t="shared" si="113"/>
        <v>0</v>
      </c>
    </row>
    <row r="180" spans="2:33" ht="15" customHeight="1" x14ac:dyDescent="0.15">
      <c r="B180" s="174" t="s">
        <v>19</v>
      </c>
      <c r="C180" s="175" t="s">
        <v>15</v>
      </c>
      <c r="D180" s="176" t="str">
        <f t="shared" si="95"/>
        <v>C</v>
      </c>
      <c r="E180" s="177" t="d">
        <v>2021-02-05T07:44:59.99999979045242400</v>
      </c>
      <c r="F180" s="178" t="s">
        <v>77</v>
      </c>
      <c r="G180" s="179">
        <v>1798.19</v>
      </c>
      <c r="H180" s="179">
        <v>1790.63</v>
      </c>
      <c r="I180" s="180">
        <f t="shared" si="96"/>
        <v>7.5599999999999454</v>
      </c>
      <c r="J180" s="179">
        <v>1834.49</v>
      </c>
      <c r="K180" s="177" t="d">
        <v>2021-02-05T15:24:00.00000029336660775</v>
      </c>
      <c r="L180" s="179">
        <v>1795.01</v>
      </c>
      <c r="M180" s="181">
        <f t="shared" si="97"/>
        <v>-3.18</v>
      </c>
      <c r="N180" s="182">
        <f t="shared" si="98"/>
        <v>-0.42</v>
      </c>
      <c r="O180" s="183">
        <f t="shared" si="99"/>
        <v>0</v>
      </c>
      <c r="P180" s="184">
        <f t="shared" si="100"/>
        <v>0</v>
      </c>
      <c r="Q180" s="184">
        <f t="shared" si="101"/>
        <v>-0.42</v>
      </c>
      <c r="R18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25642.5</v>
      </c>
      <c r="T18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25997.5</v>
      </c>
      <c r="U180" s="186">
        <f ca="1">IF(Tabla33610673489[[#This Row],[Equity]]&lt;Tabla33610673489[[#This Row],[Equity Peak]],(Tabla33610673489[[#This Row],[Equity Peak]]-Tabla33610673489[[#This Row],[Equity]])/Tabla33610673489[[#This Row],[Equity Peak]],"")</f>
        <v>1.3655159149918262E-2</v>
      </c>
      <c r="V180" s="187">
        <f t="shared" si="102"/>
        <v>0</v>
      </c>
      <c r="W180" s="187">
        <f t="shared" si="103"/>
        <v>0</v>
      </c>
      <c r="X180" s="187">
        <f t="shared" si="104"/>
        <v>-0.42</v>
      </c>
      <c r="Y180" s="187">
        <f t="shared" si="105"/>
        <v>0</v>
      </c>
      <c r="Z180" s="187">
        <f t="shared" si="106"/>
        <v>0</v>
      </c>
      <c r="AA180" s="183">
        <f t="shared" si="107"/>
        <v>0</v>
      </c>
      <c r="AB180" s="187">
        <f t="shared" si="108"/>
        <v>0</v>
      </c>
      <c r="AC180" s="183">
        <f t="shared" si="109"/>
        <v>0</v>
      </c>
      <c r="AD180" s="188">
        <f t="shared" si="110"/>
        <v>0.31875000000582077</v>
      </c>
      <c r="AE180" s="188">
        <f t="shared" si="111"/>
        <v>0</v>
      </c>
      <c r="AF180" s="188">
        <f t="shared" si="112"/>
        <v>0.31875000000582077</v>
      </c>
      <c r="AG180" s="188">
        <f t="shared" si="113"/>
        <v>0</v>
      </c>
    </row>
    <row r="181" spans="2:33" ht="15" customHeight="1" x14ac:dyDescent="0.15">
      <c r="B181" s="174" t="s">
        <v>19</v>
      </c>
      <c r="C181" s="175" t="s">
        <v>15</v>
      </c>
      <c r="D181" s="176" t="str">
        <f t="shared" si="95"/>
        <v>C</v>
      </c>
      <c r="E181" s="177" t="d">
        <v>2021-02-01T08:29:59.99999979045242400</v>
      </c>
      <c r="F181" s="178" t="s">
        <v>77</v>
      </c>
      <c r="G181" s="179">
        <v>1866.28</v>
      </c>
      <c r="H181" s="179">
        <v>1859.24</v>
      </c>
      <c r="I181" s="180">
        <f t="shared" si="96"/>
        <v>7.0399999999999636</v>
      </c>
      <c r="J181" s="179">
        <v>1900.05</v>
      </c>
      <c r="K181" s="177" t="d">
        <v>2021-02-01T12:20:59.99999970663339225</v>
      </c>
      <c r="L181" s="179">
        <v>1859.24</v>
      </c>
      <c r="M181" s="181">
        <f t="shared" si="97"/>
        <v>-7.04</v>
      </c>
      <c r="N181" s="182">
        <f t="shared" si="98"/>
        <v>-1</v>
      </c>
      <c r="O181" s="183">
        <f t="shared" si="99"/>
        <v>0</v>
      </c>
      <c r="P181" s="184">
        <f t="shared" si="100"/>
        <v>0</v>
      </c>
      <c r="Q181" s="184">
        <f t="shared" si="101"/>
        <v>-1</v>
      </c>
      <c r="R18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25747.5</v>
      </c>
      <c r="T18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25997.5</v>
      </c>
      <c r="U181" s="186">
        <f ca="1">IF(Tabla33610673489[[#This Row],[Equity]]&lt;Tabla33610673489[[#This Row],[Equity Peak]],(Tabla33610673489[[#This Row],[Equity Peak]]-Tabla33610673489[[#This Row],[Equity]])/Tabla33610673489[[#This Row],[Equity Peak]],"")</f>
        <v>9.6163092605058183E-3</v>
      </c>
      <c r="V181" s="187">
        <f t="shared" si="102"/>
        <v>0</v>
      </c>
      <c r="W181" s="187">
        <f t="shared" si="103"/>
        <v>0</v>
      </c>
      <c r="X181" s="187">
        <f t="shared" si="104"/>
        <v>-1</v>
      </c>
      <c r="Y181" s="187">
        <f t="shared" si="105"/>
        <v>0</v>
      </c>
      <c r="Z181" s="187">
        <f t="shared" si="106"/>
        <v>0</v>
      </c>
      <c r="AA181" s="183">
        <f t="shared" si="107"/>
        <v>0</v>
      </c>
      <c r="AB181" s="187">
        <f t="shared" si="108"/>
        <v>0</v>
      </c>
      <c r="AC181" s="183">
        <f t="shared" si="109"/>
        <v>0</v>
      </c>
      <c r="AD181" s="188">
        <f t="shared" si="110"/>
        <v>0.16041666666569654</v>
      </c>
      <c r="AE181" s="188">
        <f t="shared" si="111"/>
        <v>0</v>
      </c>
      <c r="AF181" s="188">
        <f t="shared" si="112"/>
        <v>0.16041666666569654</v>
      </c>
      <c r="AG181" s="188">
        <f t="shared" si="113"/>
        <v>0</v>
      </c>
    </row>
    <row r="182" spans="2:33" ht="15" customHeight="1" x14ac:dyDescent="0.15">
      <c r="B182" s="174" t="s">
        <v>19</v>
      </c>
      <c r="C182" s="175" t="s">
        <v>15</v>
      </c>
      <c r="D182" s="176" t="str">
        <f t="shared" si="95"/>
        <v>C</v>
      </c>
      <c r="E182" s="177" t="d">
        <v>2021-01-29T11:15:00.000</v>
      </c>
      <c r="F182" s="178" t="s">
        <v>77</v>
      </c>
      <c r="G182" s="179">
        <v>1852.4</v>
      </c>
      <c r="H182" s="179">
        <v>1845.98</v>
      </c>
      <c r="I182" s="180">
        <f t="shared" si="96"/>
        <v>6.4200000000000728</v>
      </c>
      <c r="J182" s="179">
        <v>1883.22</v>
      </c>
      <c r="K182" s="177" t="d">
        <v>2021-01-29T16:24:00.00000008381903175</v>
      </c>
      <c r="L182" s="179">
        <v>1867.15</v>
      </c>
      <c r="M182" s="181">
        <f t="shared" si="97"/>
        <v>14.75</v>
      </c>
      <c r="N182" s="182">
        <f t="shared" si="98"/>
        <v>2.2999999999999998</v>
      </c>
      <c r="O182" s="183">
        <f t="shared" si="99"/>
        <v>0</v>
      </c>
      <c r="P182" s="184">
        <f t="shared" si="100"/>
        <v>2.2999999999999998</v>
      </c>
      <c r="Q182" s="184">
        <f t="shared" si="101"/>
        <v>0</v>
      </c>
      <c r="R18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25997.5</v>
      </c>
      <c r="T18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25997.5</v>
      </c>
      <c r="U182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82" s="187">
        <f t="shared" si="102"/>
        <v>0</v>
      </c>
      <c r="W182" s="187">
        <f t="shared" si="103"/>
        <v>0</v>
      </c>
      <c r="X182" s="187">
        <f t="shared" si="104"/>
        <v>2.2999999999999998</v>
      </c>
      <c r="Y182" s="187">
        <f t="shared" si="105"/>
        <v>0</v>
      </c>
      <c r="Z182" s="187">
        <f t="shared" si="106"/>
        <v>0</v>
      </c>
      <c r="AA182" s="183">
        <f t="shared" si="107"/>
        <v>0</v>
      </c>
      <c r="AB182" s="187">
        <f t="shared" si="108"/>
        <v>0</v>
      </c>
      <c r="AC182" s="183">
        <f t="shared" si="109"/>
        <v>0</v>
      </c>
      <c r="AD182" s="188">
        <f t="shared" si="110"/>
        <v>0.21458333333430346</v>
      </c>
      <c r="AE182" s="188">
        <f t="shared" si="111"/>
        <v>0.21458333333430346</v>
      </c>
      <c r="AF182" s="188">
        <f t="shared" si="112"/>
        <v>0</v>
      </c>
      <c r="AG182" s="188">
        <f t="shared" si="113"/>
        <v>0</v>
      </c>
    </row>
    <row r="183" spans="2:33" ht="15" customHeight="1" x14ac:dyDescent="0.15">
      <c r="B183" s="174" t="s">
        <v>19</v>
      </c>
      <c r="C183" s="175" t="s">
        <v>15</v>
      </c>
      <c r="D183" s="176" t="str">
        <f t="shared" si="95"/>
        <v>C</v>
      </c>
      <c r="E183" s="177" t="d">
        <v>2021-01-29T09:00:00.000</v>
      </c>
      <c r="F183" s="178" t="s">
        <v>77</v>
      </c>
      <c r="G183" s="179">
        <v>1850.33</v>
      </c>
      <c r="H183" s="179">
        <v>1844.03</v>
      </c>
      <c r="I183" s="180">
        <f t="shared" si="96"/>
        <v>6.2999999999999545</v>
      </c>
      <c r="J183" s="179">
        <v>1880.59</v>
      </c>
      <c r="K183" s="177" t="d">
        <v>2021-01-29T09:08:59.99999987427145575</v>
      </c>
      <c r="L183" s="179">
        <v>1844.03</v>
      </c>
      <c r="M183" s="181">
        <f t="shared" si="97"/>
        <v>-6.3</v>
      </c>
      <c r="N183" s="182">
        <f t="shared" si="98"/>
        <v>-1</v>
      </c>
      <c r="O183" s="183">
        <f t="shared" si="99"/>
        <v>0</v>
      </c>
      <c r="P183" s="184">
        <f t="shared" si="100"/>
        <v>0</v>
      </c>
      <c r="Q183" s="184">
        <f t="shared" si="101"/>
        <v>-1</v>
      </c>
      <c r="R183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3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25422.5</v>
      </c>
      <c r="T183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25867.5</v>
      </c>
      <c r="U183" s="186">
        <f ca="1">IF(Tabla33610673489[[#This Row],[Equity]]&lt;Tabla33610673489[[#This Row],[Equity Peak]],(Tabla33610673489[[#This Row],[Equity Peak]]-Tabla33610673489[[#This Row],[Equity]])/Tabla33610673489[[#This Row],[Equity Peak]],"")</f>
        <v>1.7203054025321348E-2</v>
      </c>
      <c r="V183" s="187">
        <f t="shared" si="102"/>
        <v>0</v>
      </c>
      <c r="W183" s="187">
        <f t="shared" si="103"/>
        <v>0</v>
      </c>
      <c r="X183" s="187">
        <f t="shared" si="104"/>
        <v>-1</v>
      </c>
      <c r="Y183" s="187">
        <f t="shared" si="105"/>
        <v>0</v>
      </c>
      <c r="Z183" s="187">
        <f t="shared" si="106"/>
        <v>0</v>
      </c>
      <c r="AA183" s="183">
        <f t="shared" si="107"/>
        <v>0</v>
      </c>
      <c r="AB183" s="187">
        <f t="shared" si="108"/>
        <v>0</v>
      </c>
      <c r="AC183" s="183">
        <f t="shared" si="109"/>
        <v>0</v>
      </c>
      <c r="AD183" s="188">
        <f t="shared" si="110"/>
        <v>6.2499999985448085E-3</v>
      </c>
      <c r="AE183" s="188">
        <f t="shared" si="111"/>
        <v>0</v>
      </c>
      <c r="AF183" s="188">
        <f t="shared" si="112"/>
        <v>6.2499999985448085E-3</v>
      </c>
      <c r="AG183" s="188">
        <f t="shared" si="113"/>
        <v>0</v>
      </c>
    </row>
    <row r="184" spans="2:33" ht="15" customHeight="1" x14ac:dyDescent="0.15">
      <c r="B184" s="174" t="s">
        <v>19</v>
      </c>
      <c r="C184" s="175" t="s">
        <v>15</v>
      </c>
      <c r="D184" s="176" t="str">
        <f t="shared" si="95"/>
        <v>C</v>
      </c>
      <c r="E184" s="177" t="d">
        <v>2021-01-28T15:45:00.000</v>
      </c>
      <c r="F184" s="178" t="s">
        <v>77</v>
      </c>
      <c r="G184" s="179">
        <v>1847.09</v>
      </c>
      <c r="H184" s="179">
        <v>1840.92</v>
      </c>
      <c r="I184" s="180">
        <f t="shared" si="96"/>
        <v>6.1699999999998454</v>
      </c>
      <c r="J184" s="179">
        <v>1876.73</v>
      </c>
      <c r="K184" s="177" t="d">
        <v>2021-01-28T16:54:00.00000029336660775</v>
      </c>
      <c r="L184" s="179">
        <v>1855.96</v>
      </c>
      <c r="M184" s="181">
        <f t="shared" si="97"/>
        <v>8.8699999999999992</v>
      </c>
      <c r="N184" s="182">
        <f t="shared" si="98"/>
        <v>1.44</v>
      </c>
      <c r="O184" s="183">
        <f t="shared" si="99"/>
        <v>0</v>
      </c>
      <c r="P184" s="184">
        <f t="shared" si="100"/>
        <v>1.44</v>
      </c>
      <c r="Q184" s="184">
        <f t="shared" si="101"/>
        <v>0</v>
      </c>
      <c r="R184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4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25672.5</v>
      </c>
      <c r="T184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25867.5</v>
      </c>
      <c r="U184" s="186">
        <f ca="1">IF(Tabla33610673489[[#This Row],[Equity]]&lt;Tabla33610673489[[#This Row],[Equity Peak]],(Tabla33610673489[[#This Row],[Equity Peak]]-Tabla33610673489[[#This Row],[Equity]])/Tabla33610673489[[#This Row],[Equity Peak]],"")</f>
        <v>7.538416932444187E-3</v>
      </c>
      <c r="V184" s="187">
        <f t="shared" si="102"/>
        <v>0</v>
      </c>
      <c r="W184" s="187">
        <f t="shared" si="103"/>
        <v>0</v>
      </c>
      <c r="X184" s="187">
        <f t="shared" si="104"/>
        <v>1.44</v>
      </c>
      <c r="Y184" s="187">
        <f t="shared" si="105"/>
        <v>0</v>
      </c>
      <c r="Z184" s="187">
        <f t="shared" si="106"/>
        <v>0</v>
      </c>
      <c r="AA184" s="183">
        <f t="shared" si="107"/>
        <v>0</v>
      </c>
      <c r="AB184" s="187">
        <f t="shared" si="108"/>
        <v>0</v>
      </c>
      <c r="AC184" s="183">
        <f t="shared" si="109"/>
        <v>0</v>
      </c>
      <c r="AD184" s="188">
        <f t="shared" si="110"/>
        <v>4.7916666670062114E-2</v>
      </c>
      <c r="AE184" s="188">
        <f t="shared" si="111"/>
        <v>4.7916666670062114E-2</v>
      </c>
      <c r="AF184" s="188">
        <f t="shared" si="112"/>
        <v>0</v>
      </c>
      <c r="AG184" s="188">
        <f t="shared" si="113"/>
        <v>0</v>
      </c>
    </row>
    <row r="185" spans="2:33" ht="15" customHeight="1" x14ac:dyDescent="0.15">
      <c r="B185" s="174" t="s">
        <v>19</v>
      </c>
      <c r="C185" s="175" t="s">
        <v>15</v>
      </c>
      <c r="D185" s="176" t="str">
        <f t="shared" si="95"/>
        <v>C</v>
      </c>
      <c r="E185" s="177" t="d">
        <v>2021-01-25T12:59:59.99999979045242400</v>
      </c>
      <c r="F185" s="178" t="s">
        <v>77</v>
      </c>
      <c r="G185" s="179">
        <v>1862.9</v>
      </c>
      <c r="H185" s="179">
        <v>1856.74</v>
      </c>
      <c r="I185" s="180">
        <f t="shared" si="96"/>
        <v>6.1600000000000819</v>
      </c>
      <c r="J185" s="179">
        <v>1892.48</v>
      </c>
      <c r="K185" s="177" t="d">
        <v>2021-01-25T16:54:00.00000029336660775</v>
      </c>
      <c r="L185" s="179">
        <v>1856.74</v>
      </c>
      <c r="M185" s="181">
        <f t="shared" si="97"/>
        <v>-6.16</v>
      </c>
      <c r="N185" s="182">
        <f t="shared" si="98"/>
        <v>-1</v>
      </c>
      <c r="O185" s="183">
        <f t="shared" si="99"/>
        <v>0</v>
      </c>
      <c r="P185" s="184">
        <f t="shared" si="100"/>
        <v>0</v>
      </c>
      <c r="Q185" s="184">
        <f t="shared" si="101"/>
        <v>-1</v>
      </c>
      <c r="R185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5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25312.5</v>
      </c>
      <c r="T185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25867.5</v>
      </c>
      <c r="U185" s="186">
        <f ca="1">IF(Tabla33610673489[[#This Row],[Equity]]&lt;Tabla33610673489[[#This Row],[Equity Peak]],(Tabla33610673489[[#This Row],[Equity Peak]]-Tabla33610673489[[#This Row],[Equity]])/Tabla33610673489[[#This Row],[Equity Peak]],"")</f>
        <v>2.14554943461873E-2</v>
      </c>
      <c r="V185" s="187">
        <f t="shared" si="102"/>
        <v>0</v>
      </c>
      <c r="W185" s="187">
        <f t="shared" si="103"/>
        <v>0</v>
      </c>
      <c r="X185" s="187">
        <f t="shared" si="104"/>
        <v>-1</v>
      </c>
      <c r="Y185" s="187">
        <f t="shared" si="105"/>
        <v>0</v>
      </c>
      <c r="Z185" s="187">
        <f t="shared" si="106"/>
        <v>0</v>
      </c>
      <c r="AA185" s="183">
        <f t="shared" si="107"/>
        <v>0</v>
      </c>
      <c r="AB185" s="187">
        <f t="shared" si="108"/>
        <v>0</v>
      </c>
      <c r="AC185" s="183">
        <f t="shared" si="109"/>
        <v>0</v>
      </c>
      <c r="AD185" s="188">
        <f t="shared" si="110"/>
        <v>0.16250000000582077</v>
      </c>
      <c r="AE185" s="188">
        <f t="shared" si="111"/>
        <v>0</v>
      </c>
      <c r="AF185" s="188">
        <f t="shared" si="112"/>
        <v>0.16250000000582077</v>
      </c>
      <c r="AG185" s="188">
        <f t="shared" si="113"/>
        <v>0</v>
      </c>
    </row>
    <row r="186" spans="2:33" ht="15" customHeight="1" x14ac:dyDescent="0.15">
      <c r="B186" s="174" t="s">
        <v>19</v>
      </c>
      <c r="C186" s="175" t="s">
        <v>15</v>
      </c>
      <c r="D186" s="176" t="str">
        <f t="shared" si="95"/>
        <v>C</v>
      </c>
      <c r="E186" s="177" t="d">
        <v>2021-01-25T02:45:00.00000020954757600</v>
      </c>
      <c r="F186" s="178" t="s">
        <v>77</v>
      </c>
      <c r="G186" s="179">
        <v>1859.94</v>
      </c>
      <c r="H186" s="179">
        <v>1853.35</v>
      </c>
      <c r="I186" s="180">
        <f t="shared" si="96"/>
        <v>6.5900000000001455</v>
      </c>
      <c r="J186" s="179">
        <v>1891.57</v>
      </c>
      <c r="K186" s="177" t="d">
        <v>2021-01-25T03:39:00.00000008381903175</v>
      </c>
      <c r="L186" s="179">
        <v>1853.35</v>
      </c>
      <c r="M186" s="181">
        <f t="shared" si="97"/>
        <v>-6.59</v>
      </c>
      <c r="N186" s="182">
        <f t="shared" si="98"/>
        <v>-1</v>
      </c>
      <c r="O186" s="183">
        <f t="shared" si="99"/>
        <v>0</v>
      </c>
      <c r="P186" s="184">
        <f t="shared" si="100"/>
        <v>0</v>
      </c>
      <c r="Q186" s="184">
        <f t="shared" si="101"/>
        <v>-1</v>
      </c>
      <c r="R186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6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25562.5</v>
      </c>
      <c r="T186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25867.5</v>
      </c>
      <c r="U186" s="186">
        <f ca="1">IF(Tabla33610673489[[#This Row],[Equity]]&lt;Tabla33610673489[[#This Row],[Equity Peak]],(Tabla33610673489[[#This Row],[Equity Peak]]-Tabla33610673489[[#This Row],[Equity]])/Tabla33610673489[[#This Row],[Equity Peak]],"")</f>
        <v>1.1790857253310139E-2</v>
      </c>
      <c r="V186" s="187">
        <f t="shared" si="102"/>
        <v>0</v>
      </c>
      <c r="W186" s="187">
        <f t="shared" si="103"/>
        <v>0</v>
      </c>
      <c r="X186" s="187">
        <f t="shared" si="104"/>
        <v>-1</v>
      </c>
      <c r="Y186" s="187">
        <f t="shared" si="105"/>
        <v>0</v>
      </c>
      <c r="Z186" s="187">
        <f t="shared" si="106"/>
        <v>0</v>
      </c>
      <c r="AA186" s="183">
        <f t="shared" si="107"/>
        <v>0</v>
      </c>
      <c r="AB186" s="187">
        <f t="shared" si="108"/>
        <v>0</v>
      </c>
      <c r="AC186" s="183">
        <f t="shared" si="109"/>
        <v>0</v>
      </c>
      <c r="AD186" s="188">
        <f t="shared" si="110"/>
        <v>3.7499999998544808E-2</v>
      </c>
      <c r="AE186" s="188">
        <f t="shared" si="111"/>
        <v>0</v>
      </c>
      <c r="AF186" s="188">
        <f t="shared" si="112"/>
        <v>3.7499999998544808E-2</v>
      </c>
      <c r="AG186" s="188">
        <f t="shared" si="113"/>
        <v>0</v>
      </c>
    </row>
    <row r="187" spans="2:33" ht="15" customHeight="1" x14ac:dyDescent="0.15">
      <c r="B187" s="174" t="s">
        <v>19</v>
      </c>
      <c r="C187" s="175" t="s">
        <v>15</v>
      </c>
      <c r="D187" s="176" t="str">
        <f t="shared" si="95"/>
        <v>C</v>
      </c>
      <c r="E187" s="177" t="d">
        <v>2021-01-20T16:30:00.000</v>
      </c>
      <c r="F187" s="178" t="s">
        <v>77</v>
      </c>
      <c r="G187" s="179">
        <v>1860.1</v>
      </c>
      <c r="H187" s="179">
        <v>1853.11</v>
      </c>
      <c r="I187" s="180">
        <f t="shared" si="96"/>
        <v>6.9900000000000091</v>
      </c>
      <c r="J187" s="179">
        <v>1893.67</v>
      </c>
      <c r="K187" s="177" t="d">
        <v>2021-01-21T09:39:00.00000008381903175</v>
      </c>
      <c r="L187" s="179">
        <v>1867.56</v>
      </c>
      <c r="M187" s="181">
        <f t="shared" si="97"/>
        <v>7.46</v>
      </c>
      <c r="N187" s="182">
        <f t="shared" si="98"/>
        <v>1.07</v>
      </c>
      <c r="O187" s="183">
        <f t="shared" si="99"/>
        <v>0</v>
      </c>
      <c r="P187" s="184">
        <f t="shared" si="100"/>
        <v>1.07</v>
      </c>
      <c r="Q187" s="184">
        <f t="shared" si="101"/>
        <v>0</v>
      </c>
      <c r="R187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7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25812.5</v>
      </c>
      <c r="T187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25867.5</v>
      </c>
      <c r="U187" s="186">
        <f ca="1">IF(Tabla33610673489[[#This Row],[Equity]]&lt;Tabla33610673489[[#This Row],[Equity Peak]],(Tabla33610673489[[#This Row],[Equity Peak]]-Tabla33610673489[[#This Row],[Equity]])/Tabla33610673489[[#This Row],[Equity Peak]],"")</f>
        <v>2.1262201604329758E-3</v>
      </c>
      <c r="V187" s="187">
        <f t="shared" si="102"/>
        <v>0</v>
      </c>
      <c r="W187" s="187">
        <f t="shared" si="103"/>
        <v>0</v>
      </c>
      <c r="X187" s="187">
        <f t="shared" si="104"/>
        <v>1.07</v>
      </c>
      <c r="Y187" s="187">
        <f t="shared" si="105"/>
        <v>0</v>
      </c>
      <c r="Z187" s="187">
        <f t="shared" si="106"/>
        <v>0</v>
      </c>
      <c r="AA187" s="183">
        <f t="shared" si="107"/>
        <v>0</v>
      </c>
      <c r="AB187" s="187">
        <f t="shared" si="108"/>
        <v>0</v>
      </c>
      <c r="AC187" s="183">
        <f t="shared" si="109"/>
        <v>0</v>
      </c>
      <c r="AD187" s="188">
        <f t="shared" si="110"/>
        <v>0.71458333333430346</v>
      </c>
      <c r="AE187" s="188">
        <f t="shared" si="111"/>
        <v>0.71458333333430346</v>
      </c>
      <c r="AF187" s="188">
        <f t="shared" si="112"/>
        <v>0</v>
      </c>
      <c r="AG187" s="188">
        <f t="shared" si="113"/>
        <v>0</v>
      </c>
    </row>
    <row r="188" spans="2:33" ht="15" customHeight="1" x14ac:dyDescent="0.15">
      <c r="B188" s="174" t="s">
        <v>19</v>
      </c>
      <c r="C188" s="175" t="s">
        <v>15</v>
      </c>
      <c r="D188" s="176" t="str">
        <f t="shared" si="95"/>
        <v>C</v>
      </c>
      <c r="E188" s="177" t="d">
        <v>2021-01-18T07:44:59.99999979045242400</v>
      </c>
      <c r="F188" s="178" t="s">
        <v>77</v>
      </c>
      <c r="G188" s="179">
        <v>1836.13</v>
      </c>
      <c r="H188" s="179">
        <v>1827.91</v>
      </c>
      <c r="I188" s="180">
        <f t="shared" si="96"/>
        <v>8.2200000000000273</v>
      </c>
      <c r="J188" s="179">
        <v>1875.57</v>
      </c>
      <c r="K188" s="177" t="d">
        <v>2021-01-20T13:37:00.00000011175870900</v>
      </c>
      <c r="L188" s="179">
        <v>1850.22</v>
      </c>
      <c r="M188" s="181">
        <f t="shared" si="97"/>
        <v>14.09</v>
      </c>
      <c r="N188" s="182">
        <f t="shared" si="98"/>
        <v>1.71</v>
      </c>
      <c r="O188" s="183">
        <f t="shared" si="99"/>
        <v>0</v>
      </c>
      <c r="P188" s="184">
        <f t="shared" si="100"/>
        <v>1.71</v>
      </c>
      <c r="Q188" s="184">
        <f t="shared" si="101"/>
        <v>0</v>
      </c>
      <c r="R188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8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25545</v>
      </c>
      <c r="T188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25867.5</v>
      </c>
      <c r="U188" s="186">
        <f ca="1">IF(Tabla33610673489[[#This Row],[Equity]]&lt;Tabla33610673489[[#This Row],[Equity Peak]],(Tabla33610673489[[#This Row],[Equity Peak]]-Tabla33610673489[[#This Row],[Equity]])/Tabla33610673489[[#This Row],[Equity Peak]],"")</f>
        <v>1.246738184981154E-2</v>
      </c>
      <c r="V188" s="187">
        <f t="shared" si="102"/>
        <v>0</v>
      </c>
      <c r="W188" s="187">
        <f t="shared" si="103"/>
        <v>0</v>
      </c>
      <c r="X188" s="187">
        <f t="shared" si="104"/>
        <v>1.71</v>
      </c>
      <c r="Y188" s="187">
        <f t="shared" si="105"/>
        <v>0</v>
      </c>
      <c r="Z188" s="187">
        <f t="shared" si="106"/>
        <v>0</v>
      </c>
      <c r="AA188" s="183">
        <f t="shared" si="107"/>
        <v>0</v>
      </c>
      <c r="AB188" s="187">
        <f t="shared" si="108"/>
        <v>0</v>
      </c>
      <c r="AC188" s="183">
        <f t="shared" si="109"/>
        <v>0</v>
      </c>
      <c r="AD188" s="188">
        <f t="shared" si="110"/>
        <v>2.2444444444481633</v>
      </c>
      <c r="AE188" s="188">
        <f t="shared" si="111"/>
        <v>2.2444444444481633</v>
      </c>
      <c r="AF188" s="188">
        <f t="shared" si="112"/>
        <v>0</v>
      </c>
      <c r="AG188" s="188">
        <f t="shared" si="113"/>
        <v>0</v>
      </c>
    </row>
    <row r="189" spans="2:33" ht="15" customHeight="1" x14ac:dyDescent="0.15">
      <c r="B189" s="174" t="s">
        <v>19</v>
      </c>
      <c r="C189" s="175" t="s">
        <v>15</v>
      </c>
      <c r="D189" s="176" t="str">
        <f t="shared" si="95"/>
        <v>C</v>
      </c>
      <c r="E189" s="177" t="d">
        <v>2021-01-14T20:00:00.00000020954757600</v>
      </c>
      <c r="F189" s="178" t="s">
        <v>77</v>
      </c>
      <c r="G189" s="179">
        <v>1855.49</v>
      </c>
      <c r="H189" s="179">
        <v>1846.53</v>
      </c>
      <c r="I189" s="180">
        <f t="shared" si="96"/>
        <v>8.9600000000000364</v>
      </c>
      <c r="J189" s="179">
        <v>1898.5</v>
      </c>
      <c r="K189" s="177" t="d">
        <v>2021-01-14T21:24:00.00000029336660775</v>
      </c>
      <c r="L189" s="179">
        <v>1846.53</v>
      </c>
      <c r="M189" s="181">
        <f t="shared" si="97"/>
        <v>-8.9600000000000009</v>
      </c>
      <c r="N189" s="182">
        <f t="shared" si="98"/>
        <v>-1</v>
      </c>
      <c r="O189" s="183">
        <f t="shared" si="99"/>
        <v>0</v>
      </c>
      <c r="P189" s="184">
        <f t="shared" si="100"/>
        <v>0</v>
      </c>
      <c r="Q189" s="184">
        <f t="shared" si="101"/>
        <v>-1</v>
      </c>
      <c r="R189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9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25117.5</v>
      </c>
      <c r="T189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25867.5</v>
      </c>
      <c r="U189" s="186">
        <f ca="1">IF(Tabla33610673489[[#This Row],[Equity]]&lt;Tabla33610673489[[#This Row],[Equity Peak]],(Tabla33610673489[[#This Row],[Equity Peak]]-Tabla33610673489[[#This Row],[Equity]])/Tabla33610673489[[#This Row],[Equity Peak]],"")</f>
        <v>2.8993911278631487E-2</v>
      </c>
      <c r="V189" s="187">
        <f t="shared" si="102"/>
        <v>0</v>
      </c>
      <c r="W189" s="187">
        <f t="shared" si="103"/>
        <v>0</v>
      </c>
      <c r="X189" s="187">
        <f t="shared" si="104"/>
        <v>-1</v>
      </c>
      <c r="Y189" s="187">
        <f t="shared" si="105"/>
        <v>0</v>
      </c>
      <c r="Z189" s="187">
        <f t="shared" si="106"/>
        <v>0</v>
      </c>
      <c r="AA189" s="183">
        <f t="shared" si="107"/>
        <v>0</v>
      </c>
      <c r="AB189" s="187">
        <f t="shared" si="108"/>
        <v>0</v>
      </c>
      <c r="AC189" s="183">
        <f t="shared" si="109"/>
        <v>0</v>
      </c>
      <c r="AD189" s="188">
        <f t="shared" si="110"/>
        <v>5.8333333334303461E-2</v>
      </c>
      <c r="AE189" s="188">
        <f t="shared" si="111"/>
        <v>0</v>
      </c>
      <c r="AF189" s="188">
        <f t="shared" si="112"/>
        <v>5.8333333334303461E-2</v>
      </c>
      <c r="AG189" s="188">
        <f t="shared" si="113"/>
        <v>0</v>
      </c>
    </row>
    <row r="190" spans="2:33" ht="15" customHeight="1" x14ac:dyDescent="0.15">
      <c r="B190" s="174" t="s">
        <v>19</v>
      </c>
      <c r="C190" s="175" t="s">
        <v>15</v>
      </c>
      <c r="D190" s="176" t="str">
        <f t="shared" si="95"/>
        <v>C</v>
      </c>
      <c r="E190" s="177" t="d">
        <v>2021-01-13T03:45:00.000</v>
      </c>
      <c r="F190" s="178" t="s">
        <v>77</v>
      </c>
      <c r="G190" s="179">
        <v>1862.21</v>
      </c>
      <c r="H190" s="179">
        <v>1852.8</v>
      </c>
      <c r="I190" s="180">
        <f t="shared" si="96"/>
        <v>9.4100000000000819</v>
      </c>
      <c r="J190" s="179">
        <v>1907.36</v>
      </c>
      <c r="K190" s="177" t="d">
        <v>2021-01-13T11:06:59.99999969266355025</v>
      </c>
      <c r="L190" s="179">
        <v>1852.8</v>
      </c>
      <c r="M190" s="181">
        <f t="shared" si="97"/>
        <v>-9.41</v>
      </c>
      <c r="N190" s="182">
        <f t="shared" si="98"/>
        <v>-1</v>
      </c>
      <c r="O190" s="183">
        <f t="shared" si="99"/>
        <v>0</v>
      </c>
      <c r="P190" s="184">
        <f t="shared" si="100"/>
        <v>0</v>
      </c>
      <c r="Q190" s="184">
        <f t="shared" si="101"/>
        <v>-1</v>
      </c>
      <c r="R190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90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25367.5</v>
      </c>
      <c r="T190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25867.5</v>
      </c>
      <c r="U190" s="186">
        <f ca="1">IF(Tabla33610673489[[#This Row],[Equity]]&lt;Tabla33610673489[[#This Row],[Equity Peak]],(Tabla33610673489[[#This Row],[Equity Peak]]-Tabla33610673489[[#This Row],[Equity]])/Tabla33610673489[[#This Row],[Equity Peak]],"")</f>
        <v>1.9329274185754326E-2</v>
      </c>
      <c r="V190" s="187">
        <f t="shared" si="102"/>
        <v>0</v>
      </c>
      <c r="W190" s="187">
        <f t="shared" si="103"/>
        <v>0</v>
      </c>
      <c r="X190" s="187">
        <f t="shared" si="104"/>
        <v>-1</v>
      </c>
      <c r="Y190" s="187">
        <f t="shared" si="105"/>
        <v>0</v>
      </c>
      <c r="Z190" s="187">
        <f t="shared" si="106"/>
        <v>0</v>
      </c>
      <c r="AA190" s="183">
        <f t="shared" si="107"/>
        <v>0</v>
      </c>
      <c r="AB190" s="187">
        <f t="shared" si="108"/>
        <v>0</v>
      </c>
      <c r="AC190" s="183">
        <f t="shared" si="109"/>
        <v>0</v>
      </c>
      <c r="AD190" s="188">
        <f t="shared" si="110"/>
        <v>0.30694444444088731</v>
      </c>
      <c r="AE190" s="188">
        <f t="shared" si="111"/>
        <v>0</v>
      </c>
      <c r="AF190" s="188">
        <f t="shared" si="112"/>
        <v>0.30694444444088731</v>
      </c>
      <c r="AG190" s="188">
        <f t="shared" si="113"/>
        <v>0</v>
      </c>
    </row>
    <row r="191" spans="2:33" ht="15" customHeight="1" x14ac:dyDescent="0.15">
      <c r="B191" s="174" t="s">
        <v>19</v>
      </c>
      <c r="C191" s="175" t="s">
        <v>15</v>
      </c>
      <c r="D191" s="176" t="str">
        <f t="shared" si="95"/>
        <v>C</v>
      </c>
      <c r="E191" s="177" t="d">
        <v>2021-01-12T12:00:00.000</v>
      </c>
      <c r="F191" s="178" t="s">
        <v>77</v>
      </c>
      <c r="G191" s="179">
        <v>1862.88</v>
      </c>
      <c r="H191" s="179">
        <v>1853.57</v>
      </c>
      <c r="I191" s="180">
        <f t="shared" si="96"/>
        <v>9.3100000000001728</v>
      </c>
      <c r="J191" s="179">
        <v>1907.56</v>
      </c>
      <c r="K191" s="177" t="d">
        <v>2021-01-12T15:20:59.99999970663339225</v>
      </c>
      <c r="L191" s="179">
        <v>1853.57</v>
      </c>
      <c r="M191" s="181">
        <f t="shared" si="97"/>
        <v>-9.31</v>
      </c>
      <c r="N191" s="182">
        <f t="shared" si="98"/>
        <v>-1</v>
      </c>
      <c r="O191" s="183">
        <f t="shared" si="99"/>
        <v>0</v>
      </c>
      <c r="P191" s="184">
        <f t="shared" si="100"/>
        <v>0</v>
      </c>
      <c r="Q191" s="184">
        <f t="shared" si="101"/>
        <v>-1</v>
      </c>
      <c r="R191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91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25617.5</v>
      </c>
      <c r="T191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25867.5</v>
      </c>
      <c r="U191" s="186">
        <f ca="1">IF(Tabla33610673489[[#This Row],[Equity]]&lt;Tabla33610673489[[#This Row],[Equity Peak]],(Tabla33610673489[[#This Row],[Equity Peak]]-Tabla33610673489[[#This Row],[Equity]])/Tabla33610673489[[#This Row],[Equity Peak]],"")</f>
        <v>9.6646370928771628E-3</v>
      </c>
      <c r="V191" s="187">
        <f t="shared" si="102"/>
        <v>0</v>
      </c>
      <c r="W191" s="187">
        <f t="shared" si="103"/>
        <v>0</v>
      </c>
      <c r="X191" s="187">
        <f t="shared" si="104"/>
        <v>-1</v>
      </c>
      <c r="Y191" s="187">
        <f t="shared" si="105"/>
        <v>0</v>
      </c>
      <c r="Z191" s="187">
        <f t="shared" si="106"/>
        <v>0</v>
      </c>
      <c r="AA191" s="183">
        <f t="shared" si="107"/>
        <v>0</v>
      </c>
      <c r="AB191" s="187">
        <f t="shared" si="108"/>
        <v>0</v>
      </c>
      <c r="AC191" s="183">
        <f t="shared" si="109"/>
        <v>0</v>
      </c>
      <c r="AD191" s="188">
        <f t="shared" si="110"/>
        <v>0.13958333332993789</v>
      </c>
      <c r="AE191" s="188">
        <f t="shared" si="111"/>
        <v>0</v>
      </c>
      <c r="AF191" s="188">
        <f t="shared" si="112"/>
        <v>0.13958333332993789</v>
      </c>
      <c r="AG191" s="188">
        <f t="shared" si="113"/>
        <v>0</v>
      </c>
    </row>
    <row r="192" spans="2:33" ht="15" customHeight="1" x14ac:dyDescent="0.15">
      <c r="B192" s="174" t="s">
        <v>19</v>
      </c>
      <c r="C192" s="175" t="s">
        <v>15</v>
      </c>
      <c r="D192" s="176" t="str">
        <f t="shared" si="95"/>
        <v>C</v>
      </c>
      <c r="E192" s="177" t="d">
        <v>2021-01-04T01:15:00.00000020954757600</v>
      </c>
      <c r="F192" s="178" t="s">
        <v>77</v>
      </c>
      <c r="G192" s="179">
        <v>1908.94</v>
      </c>
      <c r="H192" s="179">
        <v>1903.11</v>
      </c>
      <c r="I192" s="180">
        <f t="shared" si="96"/>
        <v>5.8300000000001546</v>
      </c>
      <c r="J192" s="179">
        <v>1936.93</v>
      </c>
      <c r="K192" s="177" t="d">
        <v>2021-01-04T12:24:00.00000029336660775</v>
      </c>
      <c r="L192" s="179">
        <v>1929.17</v>
      </c>
      <c r="M192" s="181">
        <f t="shared" si="97"/>
        <v>20.23</v>
      </c>
      <c r="N192" s="182">
        <f t="shared" si="98"/>
        <v>3.47</v>
      </c>
      <c r="O192" s="183">
        <f t="shared" si="99"/>
        <v>0</v>
      </c>
      <c r="P192" s="184">
        <f t="shared" si="100"/>
        <v>3.47</v>
      </c>
      <c r="Q192" s="184">
        <f t="shared" si="101"/>
        <v>0</v>
      </c>
      <c r="R192" s="184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92" s="185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25867.5</v>
      </c>
      <c r="T192" s="185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25867.5</v>
      </c>
      <c r="U192" s="186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192" s="187">
        <f t="shared" si="102"/>
        <v>0</v>
      </c>
      <c r="W192" s="187">
        <f t="shared" si="103"/>
        <v>0</v>
      </c>
      <c r="X192" s="187">
        <f t="shared" si="104"/>
        <v>3.47</v>
      </c>
      <c r="Y192" s="187">
        <f t="shared" si="105"/>
        <v>0</v>
      </c>
      <c r="Z192" s="187">
        <f t="shared" si="106"/>
        <v>0</v>
      </c>
      <c r="AA192" s="183">
        <f t="shared" si="107"/>
        <v>0</v>
      </c>
      <c r="AB192" s="187">
        <f t="shared" si="108"/>
        <v>0</v>
      </c>
      <c r="AC192" s="183">
        <f t="shared" si="109"/>
        <v>0</v>
      </c>
      <c r="AD192" s="188">
        <f t="shared" si="110"/>
        <v>0.46458333333430346</v>
      </c>
      <c r="AE192" s="188">
        <f t="shared" si="111"/>
        <v>0.46458333333430346</v>
      </c>
      <c r="AF192" s="188">
        <f t="shared" si="112"/>
        <v>0</v>
      </c>
      <c r="AG192" s="188">
        <f t="shared" si="113"/>
        <v>0</v>
      </c>
    </row>
  </sheetData>
  <sheetProtection algorithmName="SHA-512" hashValue="nIPa9DSORbvkASN2qv9XhCb6CU/GZs1s2OZSDDw0sLusM9w5wZ3Xbq1Sqx5oCMZfk1YOoHI2doEKupjWFTjdzg==" saltValue="f+QNQ3DVzeX8Nrqva4W6pw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167" priority="3" operator="equal">
      <formula>"OK"</formula>
    </cfRule>
    <cfRule type="cellIs" dxfId="166" priority="4" operator="equal">
      <formula>"warning"</formula>
    </cfRule>
  </conditionalFormatting>
  <conditionalFormatting sqref="F13">
    <cfRule type="cellIs" dxfId="165" priority="1" operator="equal">
      <formula>"OK"</formula>
    </cfRule>
    <cfRule type="cellIs" dxfId="164" priority="2" operator="equal">
      <formula>"Error!!"</formula>
    </cfRule>
  </conditionalFormatting>
  <conditionalFormatting sqref="E15:H15 K15:L15">
    <cfRule type="expression" dxfId="163" priority="5">
      <formula>+$D15=#REF!</formula>
    </cfRule>
    <cfRule type="expression" dxfId="162" priority="6">
      <formula>+$D15=#REF!</formula>
    </cfRule>
  </conditionalFormatting>
  <conditionalFormatting sqref="D15 K16:L16 D16:H192 J17:L192">
    <cfRule type="expression" dxfId="161" priority="7">
      <formula>+$D15=$AG$8</formula>
    </cfRule>
    <cfRule type="expression" dxfId="160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7:B192" xr:uid="{69E8FCA0-1D6A-48EB-A5C3-B8171E1B4D70}">
      <formula1>$AE$4:$AE$7</formula1>
    </dataValidation>
    <dataValidation type="list" allowBlank="1" showInputMessage="1" showErrorMessage="1" promptTitle="Instrument Type" prompt="Select Type from List_x000a_" sqref="B15:B16" xr:uid="{54B0218A-F85D-4B3B-9CD0-8F440FC3B6FB}">
      <formula1>$AE$4:$AE$6</formula1>
    </dataValidation>
    <dataValidation type="list" allowBlank="1" showInputMessage="1" showErrorMessage="1" promptTitle="Trade Direction" prompt="Select from List" sqref="C15:C17" xr:uid="{77589013-8755-4E62-9989-E01B400878BF}">
      <formula1>$AG$4:$AG$5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FCD4-2ECC-4A6B-8B13-798EFE5F2AFA}">
  <sheetPr codeName="Hoja16">
    <pageSetUpPr fitToPage="1"/>
  </sheetPr>
  <dimension ref="A1:AX97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E2" sqref="E2:N5"/>
    </sheetView>
  </sheetViews>
  <sheetFormatPr baseColWidth="10" defaultColWidth="0" defaultRowHeight="15" customHeight="1" x14ac:dyDescent="0.15"/>
  <cols>
    <col min="1" max="1" width="2.33203125" style="117" customWidth="1"/>
    <col min="2" max="2" width="10.33203125" style="88" customWidth="1"/>
    <col min="3" max="3" width="12.6640625" style="90" customWidth="1"/>
    <col min="4" max="4" width="8.6640625" style="91" customWidth="1"/>
    <col min="5" max="5" width="13.6640625" style="107" customWidth="1"/>
    <col min="6" max="6" width="8.33203125" style="88" customWidth="1"/>
    <col min="7" max="7" width="10.6640625" style="88" bestFit="1" customWidth="1"/>
    <col min="8" max="8" width="9.83203125" style="88" bestFit="1" customWidth="1"/>
    <col min="9" max="9" width="15.33203125" style="88" customWidth="1"/>
    <col min="10" max="10" width="12.83203125" style="88" customWidth="1"/>
    <col min="11" max="11" width="12.6640625" style="107" customWidth="1"/>
    <col min="12" max="12" width="10.33203125" style="88" customWidth="1"/>
    <col min="13" max="13" width="10.1640625" style="89" customWidth="1"/>
    <col min="14" max="14" width="12.1640625" style="89" customWidth="1"/>
    <col min="15" max="15" width="8.6640625" style="89" hidden="1" customWidth="1"/>
    <col min="16" max="16" width="10.33203125" style="89" customWidth="1"/>
    <col min="17" max="17" width="11" style="89" customWidth="1"/>
    <col min="18" max="18" width="11" style="89" hidden="1" customWidth="1"/>
    <col min="19" max="20" width="11" style="96" hidden="1" customWidth="1"/>
    <col min="21" max="21" width="11" style="102" hidden="1" customWidth="1"/>
    <col min="22" max="22" width="9.33203125" style="89" bestFit="1" customWidth="1"/>
    <col min="23" max="23" width="9.33203125" style="89" hidden="1" customWidth="1"/>
    <col min="24" max="24" width="7.6640625" style="89" customWidth="1"/>
    <col min="25" max="25" width="9.33203125" style="89" hidden="1" customWidth="1"/>
    <col min="26" max="26" width="8.1640625" style="89" bestFit="1" customWidth="1"/>
    <col min="27" max="27" width="8.33203125" style="89" hidden="1" customWidth="1"/>
    <col min="28" max="28" width="8.1640625" style="89" customWidth="1"/>
    <col min="29" max="29" width="8.1640625" style="89" hidden="1" customWidth="1"/>
    <col min="30" max="30" width="9.6640625" style="89" customWidth="1"/>
    <col min="31" max="31" width="8.1640625" style="89" customWidth="1"/>
    <col min="32" max="32" width="8" style="89" customWidth="1"/>
    <col min="33" max="33" width="6.6640625" style="88" customWidth="1"/>
    <col min="34" max="34" width="2.5" style="117" customWidth="1"/>
    <col min="35" max="35" width="7.33203125" style="87" hidden="1" customWidth="1"/>
    <col min="36" max="41" width="2.6640625" style="88" hidden="1" customWidth="1"/>
    <col min="42" max="42" width="4.6640625" style="88" hidden="1" customWidth="1"/>
    <col min="43" max="43" width="7.6640625" style="88" hidden="1" customWidth="1"/>
    <col min="44" max="44" width="8.6640625" style="88" hidden="1" customWidth="1"/>
    <col min="45" max="45" width="12.33203125" style="88" hidden="1" customWidth="1"/>
    <col min="46" max="46" width="2.1640625" style="88" hidden="1" customWidth="1"/>
    <col min="47" max="47" width="2.6640625" style="88" hidden="1" customWidth="1"/>
    <col min="48" max="50" width="39.33203125" style="88" hidden="1" customWidth="1"/>
    <col min="51" max="16384" width="2.6640625" style="88" hidden="1"/>
  </cols>
  <sheetData>
    <row r="1" spans="1:48" s="87" customFormat="1" ht="15" customHeight="1" x14ac:dyDescent="0.15">
      <c r="A1" s="116"/>
      <c r="B1" s="119"/>
      <c r="C1" s="118"/>
      <c r="D1" s="118"/>
      <c r="E1" s="120"/>
      <c r="F1" s="116"/>
      <c r="G1" s="116"/>
      <c r="H1" s="116"/>
      <c r="I1" s="116"/>
      <c r="J1" s="116"/>
      <c r="K1" s="120"/>
      <c r="L1" s="121"/>
      <c r="M1" s="122"/>
      <c r="N1" s="122"/>
      <c r="O1" s="2"/>
      <c r="P1" s="134"/>
      <c r="Q1" s="134"/>
      <c r="R1" s="134"/>
      <c r="S1" s="135"/>
      <c r="T1" s="135"/>
      <c r="U1" s="136"/>
      <c r="V1" s="134"/>
      <c r="W1" s="134"/>
      <c r="X1" s="134"/>
      <c r="Y1" s="134"/>
      <c r="Z1" s="134"/>
      <c r="AA1" s="134"/>
      <c r="AB1" s="147"/>
      <c r="AC1" s="1"/>
      <c r="AD1" s="147"/>
      <c r="AE1" s="147"/>
      <c r="AF1" s="147"/>
      <c r="AG1" s="147"/>
      <c r="AH1" s="147"/>
    </row>
    <row r="2" spans="1:48" ht="15" customHeight="1" thickBot="1" x14ac:dyDescent="0.2">
      <c r="B2" s="117"/>
      <c r="C2" s="118"/>
      <c r="D2" s="123"/>
      <c r="E2" s="189" t="s">
        <v>105</v>
      </c>
      <c r="F2" s="189"/>
      <c r="G2" s="189"/>
      <c r="H2" s="189"/>
      <c r="I2" s="189"/>
      <c r="J2" s="189"/>
      <c r="K2" s="189"/>
      <c r="L2" s="189"/>
      <c r="M2" s="189"/>
      <c r="N2" s="189"/>
      <c r="O2" s="115"/>
      <c r="P2" s="137"/>
      <c r="Q2" s="137"/>
      <c r="R2" s="138"/>
      <c r="S2" s="139"/>
      <c r="T2" s="139"/>
      <c r="U2" s="140"/>
      <c r="V2" s="141"/>
      <c r="W2" s="141"/>
      <c r="X2" s="141"/>
      <c r="Y2" s="141"/>
      <c r="Z2" s="141"/>
      <c r="AA2" s="141"/>
      <c r="AB2" s="141"/>
      <c r="AC2" s="3"/>
      <c r="AD2" s="147"/>
      <c r="AE2" s="147"/>
      <c r="AF2" s="147"/>
      <c r="AG2" s="147"/>
      <c r="AH2" s="141"/>
    </row>
    <row r="3" spans="1:48" ht="15" customHeight="1" thickBot="1" x14ac:dyDescent="0.2">
      <c r="B3" s="117"/>
      <c r="C3" s="124"/>
      <c r="D3" s="123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15"/>
      <c r="P3" s="137"/>
      <c r="Q3" s="137"/>
      <c r="R3" s="138"/>
      <c r="S3" s="139"/>
      <c r="T3" s="139"/>
      <c r="U3" s="140"/>
      <c r="V3" s="141"/>
      <c r="W3" s="141"/>
      <c r="X3" s="141"/>
      <c r="Y3" s="141"/>
      <c r="Z3" s="141"/>
      <c r="AA3" s="141"/>
      <c r="AB3" s="141"/>
      <c r="AC3" s="3"/>
      <c r="AD3" s="4" t="s">
        <v>76</v>
      </c>
      <c r="AE3" s="5"/>
      <c r="AF3" s="4" t="s">
        <v>17</v>
      </c>
      <c r="AG3" s="6"/>
    </row>
    <row r="4" spans="1:48" ht="15" customHeight="1" x14ac:dyDescent="0.15">
      <c r="B4" s="117"/>
      <c r="C4" s="124"/>
      <c r="D4" s="123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15"/>
      <c r="P4" s="137"/>
      <c r="Q4" s="137"/>
      <c r="R4" s="138"/>
      <c r="S4" s="139"/>
      <c r="T4" s="139"/>
      <c r="U4" s="140"/>
      <c r="V4" s="141"/>
      <c r="W4" s="141"/>
      <c r="X4" s="141"/>
      <c r="Y4" s="141"/>
      <c r="Z4" s="141"/>
      <c r="AA4" s="141"/>
      <c r="AB4" s="141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88">
        <f>+IF(F13="OK",1,0)</f>
        <v>1</v>
      </c>
    </row>
    <row r="5" spans="1:48" ht="15" customHeight="1" thickBot="1" x14ac:dyDescent="0.2">
      <c r="B5" s="117"/>
      <c r="C5" s="124"/>
      <c r="D5" s="123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15"/>
      <c r="P5" s="137"/>
      <c r="Q5" s="137"/>
      <c r="R5" s="138"/>
      <c r="S5" s="139"/>
      <c r="T5" s="139"/>
      <c r="U5" s="140"/>
      <c r="V5" s="148" t="s">
        <v>7</v>
      </c>
      <c r="W5" s="134"/>
      <c r="X5" s="148" t="s">
        <v>6</v>
      </c>
      <c r="Y5" s="149"/>
      <c r="Z5" s="148" t="s">
        <v>5</v>
      </c>
      <c r="AA5" s="149"/>
      <c r="AB5" s="148" t="s">
        <v>73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88">
        <f>+IF(AS4=1,0,1)</f>
        <v>0</v>
      </c>
    </row>
    <row r="6" spans="1:48" ht="33" customHeight="1" thickBot="1" x14ac:dyDescent="0.2">
      <c r="B6" s="117"/>
      <c r="C6" s="124"/>
      <c r="D6" s="125"/>
      <c r="E6" s="108" t="s">
        <v>10</v>
      </c>
      <c r="F6" s="14">
        <f>COUNTA(Tabla336106734810[Inst])</f>
        <v>81</v>
      </c>
      <c r="G6" s="15" t="s">
        <v>9</v>
      </c>
      <c r="H6" s="15" t="s">
        <v>8</v>
      </c>
      <c r="I6" s="15" t="s">
        <v>61</v>
      </c>
      <c r="J6" s="77" t="s">
        <v>62</v>
      </c>
      <c r="K6" s="127"/>
      <c r="L6" s="199" t="s">
        <v>100</v>
      </c>
      <c r="M6" s="200"/>
      <c r="N6" s="203">
        <f>N13</f>
        <v>19.959999999999997</v>
      </c>
      <c r="O6" s="16"/>
      <c r="P6" s="141"/>
      <c r="Q6" s="142" t="s">
        <v>47</v>
      </c>
      <c r="R6" s="142"/>
      <c r="S6" s="143"/>
      <c r="T6" s="143"/>
      <c r="U6" s="144"/>
      <c r="V6" s="17">
        <f>+V13</f>
        <v>0</v>
      </c>
      <c r="W6" s="18"/>
      <c r="X6" s="17">
        <f>+X13</f>
        <v>0</v>
      </c>
      <c r="Y6" s="19"/>
      <c r="Z6" s="17">
        <f>+Z13</f>
        <v>19.959999999999997</v>
      </c>
      <c r="AA6" s="19"/>
      <c r="AB6" s="17">
        <f>+AB13</f>
        <v>0</v>
      </c>
      <c r="AC6" s="84"/>
      <c r="AD6" s="11" t="s">
        <v>18</v>
      </c>
      <c r="AE6" s="12" t="s">
        <v>5</v>
      </c>
      <c r="AF6" s="20"/>
      <c r="AG6" s="22"/>
    </row>
    <row r="7" spans="1:48" ht="15" customHeight="1" thickBot="1" x14ac:dyDescent="0.2">
      <c r="B7" s="117"/>
      <c r="C7" s="118"/>
      <c r="D7" s="117"/>
      <c r="E7" s="109" t="s">
        <v>4</v>
      </c>
      <c r="F7" s="23">
        <f>COUNTIF(Tabla336106734810[No. of Rs],"&gt;0")</f>
        <v>27</v>
      </c>
      <c r="G7" s="24">
        <f>IFERROR((F7/$F$6),"")</f>
        <v>0.33333333333333331</v>
      </c>
      <c r="H7" s="78">
        <f>IFERROR((+P13/F7),"")</f>
        <v>2.2370370370370374</v>
      </c>
      <c r="I7" s="205">
        <f>H7/H9</f>
        <v>2.9871414441147381</v>
      </c>
      <c r="J7" s="205">
        <f>AVERAGE(Tabla336106734810[No. of Rs])</f>
        <v>0.24641975308641972</v>
      </c>
      <c r="K7" s="127"/>
      <c r="L7" s="201"/>
      <c r="M7" s="202"/>
      <c r="N7" s="204"/>
      <c r="O7" s="16"/>
      <c r="P7" s="141"/>
      <c r="Q7" s="142" t="s">
        <v>2</v>
      </c>
      <c r="R7" s="142"/>
      <c r="S7" s="143"/>
      <c r="T7" s="143"/>
      <c r="U7" s="144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85"/>
      <c r="AD7" s="20" t="s">
        <v>75</v>
      </c>
      <c r="AE7" s="21" t="s">
        <v>73</v>
      </c>
      <c r="AF7" s="4" t="s">
        <v>37</v>
      </c>
      <c r="AG7" s="6"/>
    </row>
    <row r="8" spans="1:48" ht="23" customHeight="1" thickBot="1" x14ac:dyDescent="0.2">
      <c r="B8" s="117"/>
      <c r="C8" s="118"/>
      <c r="D8" s="117"/>
      <c r="E8" s="109" t="s">
        <v>3</v>
      </c>
      <c r="F8" s="23">
        <f>COUNTIF(Tabla336106734810[No. of Rs],"=0")</f>
        <v>0</v>
      </c>
      <c r="G8" s="24">
        <f>IFERROR((F8/$F$6),"")</f>
        <v>0</v>
      </c>
      <c r="H8" s="78"/>
      <c r="I8" s="206"/>
      <c r="J8" s="206"/>
      <c r="K8" s="141"/>
      <c r="L8" s="190" t="s">
        <v>101</v>
      </c>
      <c r="M8" s="191"/>
      <c r="N8" s="173">
        <f ca="1">OFFSET(Tabla336106734810[[#Headers],[Equity]],1,0)</f>
        <v>29990</v>
      </c>
      <c r="O8" s="16"/>
      <c r="P8" s="141"/>
      <c r="Q8" s="142" t="s">
        <v>63</v>
      </c>
      <c r="R8" s="142"/>
      <c r="S8" s="143"/>
      <c r="T8" s="143"/>
      <c r="U8" s="144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86"/>
      <c r="AD8" s="141"/>
      <c r="AE8" s="141"/>
      <c r="AF8" s="7" t="s">
        <v>31</v>
      </c>
      <c r="AG8" s="9" t="s">
        <v>33</v>
      </c>
    </row>
    <row r="9" spans="1:48" ht="15" customHeight="1" thickBot="1" x14ac:dyDescent="0.2">
      <c r="B9" s="117"/>
      <c r="C9" s="118"/>
      <c r="D9" s="126"/>
      <c r="E9" s="110" t="s">
        <v>1</v>
      </c>
      <c r="F9" s="31">
        <f>COUNTIF(Tabla336106734810[No. of Rs],"&lt;0")</f>
        <v>54</v>
      </c>
      <c r="G9" s="32">
        <f>IFERROR((F9/$F$6),"")</f>
        <v>0.66666666666666663</v>
      </c>
      <c r="H9" s="79">
        <f>IFERROR((-Q13/F9),"")</f>
        <v>0.74888888888888894</v>
      </c>
      <c r="I9" s="207"/>
      <c r="J9" s="207"/>
      <c r="K9" s="127"/>
      <c r="L9" s="208" t="s">
        <v>95</v>
      </c>
      <c r="M9" s="209"/>
      <c r="N9" s="103">
        <f ca="1">MAX(Tabla336106734810[Drawdown])</f>
        <v>6.8500000000000005E-2</v>
      </c>
      <c r="O9" s="16"/>
      <c r="P9" s="141"/>
      <c r="Q9" s="142" t="s">
        <v>60</v>
      </c>
      <c r="R9" s="142"/>
      <c r="S9" s="143"/>
      <c r="T9" s="143"/>
      <c r="U9" s="144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86"/>
      <c r="AD9" s="141"/>
      <c r="AE9" s="141"/>
      <c r="AF9" s="11" t="s">
        <v>32</v>
      </c>
      <c r="AG9" s="13" t="s">
        <v>34</v>
      </c>
    </row>
    <row r="10" spans="1:48" ht="15" customHeight="1" thickBot="1" x14ac:dyDescent="0.2">
      <c r="B10" s="117"/>
      <c r="C10" s="118"/>
      <c r="D10" s="126"/>
      <c r="E10" s="127"/>
      <c r="F10" s="117"/>
      <c r="G10" s="141"/>
      <c r="H10" s="141"/>
      <c r="I10" s="141"/>
      <c r="J10" s="141"/>
      <c r="K10" s="155"/>
      <c r="L10" s="208" t="s">
        <v>99</v>
      </c>
      <c r="M10" s="209"/>
      <c r="N10" s="103" t="str">
        <f ca="1">OFFSET(Tabla336106734810[[#Headers],[Drawdown]],1,0)</f>
        <v/>
      </c>
      <c r="O10" s="25"/>
      <c r="P10" s="141"/>
      <c r="Q10" s="141"/>
      <c r="R10" s="141"/>
      <c r="S10" s="145"/>
      <c r="T10" s="145"/>
      <c r="U10" s="146"/>
      <c r="V10" s="37" t="s">
        <v>53</v>
      </c>
      <c r="W10" s="38"/>
      <c r="X10" s="38">
        <f>COUNTIF(Tabla336106734810[Heat],"&lt;0")</f>
        <v>0</v>
      </c>
      <c r="Y10" s="38"/>
      <c r="Z10" s="39" t="s">
        <v>54</v>
      </c>
      <c r="AA10" s="38"/>
      <c r="AB10" s="38"/>
      <c r="AC10" s="38"/>
      <c r="AD10" s="141"/>
      <c r="AE10" s="141"/>
      <c r="AF10" s="20"/>
      <c r="AG10" s="22"/>
    </row>
    <row r="11" spans="1:48" ht="15" customHeight="1" thickBot="1" x14ac:dyDescent="0.2">
      <c r="B11" s="117"/>
      <c r="C11" s="118"/>
      <c r="D11" s="126"/>
      <c r="E11" s="111" t="s">
        <v>64</v>
      </c>
      <c r="F11" s="81">
        <v>25000</v>
      </c>
      <c r="G11" s="141"/>
      <c r="H11" s="192" t="s">
        <v>46</v>
      </c>
      <c r="I11" s="193"/>
      <c r="J11" s="80">
        <v>12</v>
      </c>
      <c r="K11" s="141"/>
      <c r="L11" s="141"/>
      <c r="M11" s="141"/>
      <c r="N11" s="141"/>
      <c r="O11" s="141"/>
      <c r="P11" s="141"/>
      <c r="Q11" s="141"/>
      <c r="R11" s="141"/>
      <c r="S11" s="145"/>
      <c r="T11" s="145"/>
      <c r="U11" s="146"/>
      <c r="V11" s="141"/>
      <c r="W11" s="141"/>
      <c r="X11" s="141"/>
      <c r="Y11" s="141"/>
      <c r="Z11" s="141"/>
      <c r="AA11" s="141"/>
      <c r="AB11" s="141"/>
      <c r="AC11" s="3"/>
      <c r="AD11" s="153"/>
      <c r="AE11" s="153"/>
      <c r="AF11" s="153"/>
      <c r="AG11" s="141"/>
      <c r="AH11" s="141"/>
    </row>
    <row r="12" spans="1:48" ht="15" customHeight="1" thickBot="1" x14ac:dyDescent="0.2">
      <c r="B12" s="117"/>
      <c r="C12" s="118"/>
      <c r="D12" s="117"/>
      <c r="E12" s="128"/>
      <c r="F12" s="117"/>
      <c r="G12" s="141"/>
      <c r="H12" s="194" t="s">
        <v>65</v>
      </c>
      <c r="I12" s="195"/>
      <c r="J12" s="82" t="str">
        <f>IF(COUNTIFS(Tabla336106734810[O/C],"O")&lt;1,"None",COUNTIFS(Tabla336106734810[O/C],"O"))</f>
        <v>None</v>
      </c>
      <c r="K12" s="155"/>
      <c r="L12" s="117"/>
      <c r="M12" s="117"/>
      <c r="N12" s="117"/>
      <c r="O12" s="117"/>
      <c r="P12" s="117"/>
      <c r="Q12" s="117"/>
      <c r="R12" s="117"/>
      <c r="S12" s="132"/>
      <c r="T12" s="132"/>
      <c r="U12" s="133"/>
      <c r="V12" s="141"/>
      <c r="W12" s="150"/>
      <c r="X12" s="151"/>
      <c r="Y12" s="151"/>
      <c r="Z12" s="152"/>
      <c r="AA12" s="151"/>
      <c r="AB12" s="152"/>
      <c r="AC12" s="40"/>
      <c r="AD12" s="196" t="s">
        <v>42</v>
      </c>
      <c r="AE12" s="197"/>
      <c r="AF12" s="197"/>
      <c r="AG12" s="198"/>
      <c r="AP12" s="89"/>
      <c r="AQ12" s="89"/>
      <c r="AR12" s="89"/>
      <c r="AS12" s="89"/>
      <c r="AT12" s="89"/>
      <c r="AV12" s="88" t="s">
        <v>12</v>
      </c>
    </row>
    <row r="13" spans="1:48" ht="15" customHeight="1" thickBot="1" x14ac:dyDescent="0.2">
      <c r="B13" s="117"/>
      <c r="C13" s="118"/>
      <c r="D13" s="117"/>
      <c r="E13" s="112" t="s">
        <v>0</v>
      </c>
      <c r="F13" s="41" t="str">
        <f>IF((+F6-SUM(F7:F9))&lt;&gt;0,"ERROR!!","OK")</f>
        <v>OK</v>
      </c>
      <c r="G13" s="141"/>
      <c r="H13" s="141"/>
      <c r="I13" s="141"/>
      <c r="J13" s="156"/>
      <c r="K13" s="155"/>
      <c r="L13" s="117"/>
      <c r="M13" s="117"/>
      <c r="N13" s="74">
        <f>SUM(Tabla336106734810[No. of Rs])</f>
        <v>19.959999999999997</v>
      </c>
      <c r="O13" s="42">
        <f>SUM(Tabla336106734810[Heat])</f>
        <v>0</v>
      </c>
      <c r="P13" s="43">
        <f>SUM(Tabla336106734810[[ TR WIN]])</f>
        <v>60.400000000000006</v>
      </c>
      <c r="Q13" s="43">
        <f>SUM(Tabla336106734810[[ TR LOSS]])</f>
        <v>-40.440000000000005</v>
      </c>
      <c r="R13" s="92"/>
      <c r="S13" s="93"/>
      <c r="T13" s="93"/>
      <c r="U13" s="99"/>
      <c r="V13" s="44">
        <f>SUM(Tabla336106734810[Currency])</f>
        <v>0</v>
      </c>
      <c r="W13" s="44">
        <f>SUM(Tabla336106734810[Heat3])</f>
        <v>0</v>
      </c>
      <c r="X13" s="44">
        <f>SUM(Tabla336106734810[Commodities])</f>
        <v>0</v>
      </c>
      <c r="Y13" s="44">
        <f>SUM(Tabla336106734810[Heat4])</f>
        <v>0</v>
      </c>
      <c r="Z13" s="44">
        <f>SUM(Tabla336106734810[Index])</f>
        <v>19.959999999999997</v>
      </c>
      <c r="AA13" s="44">
        <f>SUM(Tabla336106734810[Heat5])</f>
        <v>0</v>
      </c>
      <c r="AB13" s="44">
        <f>SUM(Tabla336106734810[Cryptocurrency])</f>
        <v>0</v>
      </c>
      <c r="AC13" s="44">
        <f>SUM(Tabla336106734810[Heat6])</f>
        <v>0</v>
      </c>
      <c r="AD13" s="75">
        <f>AVERAGEIF(Tabla336106734810[Length of 
Trade],"&lt;&gt;0")</f>
        <v>0.83262174211240902</v>
      </c>
      <c r="AE13" s="75">
        <f>AVERAGEIF(Tabla336106734810[Win],"&lt;&gt;0")</f>
        <v>1.7621656378601243</v>
      </c>
      <c r="AF13" s="75">
        <f>AVERAGEIF(Tabla336106734810[Loss],"&lt;&gt;0")</f>
        <v>0.36784979423855141</v>
      </c>
      <c r="AG13" s="76" t="e">
        <f>AVERAGEIF(Tabla336106734810[Breakeven],"&lt;&gt;0")</f>
        <v>#DIV/0!</v>
      </c>
      <c r="AP13" s="89"/>
      <c r="AV13" s="88" t="s">
        <v>11</v>
      </c>
    </row>
    <row r="14" spans="1:48" ht="15" customHeight="1" thickBot="1" x14ac:dyDescent="0.2">
      <c r="B14" s="117"/>
      <c r="C14" s="118"/>
      <c r="D14" s="117"/>
      <c r="E14" s="127"/>
      <c r="F14" s="129"/>
      <c r="G14" s="157"/>
      <c r="H14" s="157"/>
      <c r="I14" s="157"/>
      <c r="J14" s="157"/>
      <c r="K14" s="158"/>
      <c r="L14" s="129"/>
      <c r="M14" s="129"/>
      <c r="N14" s="129"/>
      <c r="O14" s="129"/>
      <c r="P14" s="129"/>
      <c r="Q14" s="129"/>
      <c r="R14" s="129"/>
      <c r="S14" s="130"/>
      <c r="T14" s="130"/>
      <c r="U14" s="131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</row>
    <row r="15" spans="1:48" s="90" customFormat="1" ht="43" thickBot="1" x14ac:dyDescent="0.2">
      <c r="A15" s="118"/>
      <c r="B15" s="45" t="s">
        <v>29</v>
      </c>
      <c r="C15" s="46" t="s">
        <v>28</v>
      </c>
      <c r="D15" s="45" t="s">
        <v>35</v>
      </c>
      <c r="E15" s="113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05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97" t="s">
        <v>98</v>
      </c>
      <c r="S15" s="94" t="s">
        <v>93</v>
      </c>
      <c r="T15" s="104" t="s">
        <v>96</v>
      </c>
      <c r="U15" s="100" t="s">
        <v>94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75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18"/>
      <c r="AI15" s="87"/>
    </row>
    <row r="16" spans="1:48" s="90" customFormat="1" ht="42" hidden="1" x14ac:dyDescent="0.15">
      <c r="A16" s="118"/>
      <c r="B16" s="60" t="s">
        <v>29</v>
      </c>
      <c r="C16" s="61" t="s">
        <v>28</v>
      </c>
      <c r="D16" s="62" t="s">
        <v>35</v>
      </c>
      <c r="E16" s="114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06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98" t="s">
        <v>98</v>
      </c>
      <c r="S16" s="95" t="s">
        <v>93</v>
      </c>
      <c r="T16" s="95" t="s">
        <v>96</v>
      </c>
      <c r="U16" s="101" t="s">
        <v>94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75</v>
      </c>
      <c r="AC16" s="68" t="s">
        <v>92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54"/>
      <c r="AI16" s="87"/>
    </row>
    <row r="17" spans="1:35" s="90" customFormat="1" ht="14" x14ac:dyDescent="0.15">
      <c r="A17" s="118"/>
      <c r="B17" s="174" t="s">
        <v>5</v>
      </c>
      <c r="C17" s="175" t="s">
        <v>15</v>
      </c>
      <c r="D17" s="176" t="str">
        <f t="shared" ref="D17:D48" si="0">IF(E17&lt;&gt;"",IF(K17&lt;&gt;"","C","O"),"")</f>
        <v>C</v>
      </c>
      <c r="E17" s="177" t="d">
        <v>2021-12-27T11:00:00.00000020954757600</v>
      </c>
      <c r="F17" s="178" t="s">
        <v>80</v>
      </c>
      <c r="G17" s="179">
        <v>15787.85</v>
      </c>
      <c r="H17" s="179">
        <v>15745.18</v>
      </c>
      <c r="I17" s="180">
        <f t="shared" ref="I17:I48" si="1">ABS(G17-H17)</f>
        <v>42.670000000000073</v>
      </c>
      <c r="J17" s="179">
        <v>16100.73</v>
      </c>
      <c r="K17" s="177" t="d">
        <v>2021-12-29T13:06:59.99999990221113300</v>
      </c>
      <c r="L17" s="179">
        <v>15904.85</v>
      </c>
      <c r="M17" s="181">
        <f t="shared" ref="M17:M48" si="2">ROUND(IF(C17="L",(L17-G17),(G17-L17)),4)</f>
        <v>117</v>
      </c>
      <c r="N17" s="182">
        <f t="shared" ref="N17:N48" si="3">IFERROR(ROUND((M17/I17),2),"")</f>
        <v>2.74</v>
      </c>
      <c r="O17" s="183">
        <f t="shared" ref="O17:O48" si="4">IF(D17="O",IF(N17&lt;0,N17,0),0)</f>
        <v>0</v>
      </c>
      <c r="P17" s="184">
        <f t="shared" ref="P17:P48" si="5">IF(N17&gt;= 0,N17,0)</f>
        <v>2.74</v>
      </c>
      <c r="Q17" s="184">
        <f t="shared" ref="Q17:Q48" si="6">IF(N17&lt;0,N17,0)</f>
        <v>0</v>
      </c>
      <c r="R17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7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29990</v>
      </c>
      <c r="T17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29990</v>
      </c>
      <c r="U17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17" s="187">
        <f t="shared" ref="V17:V48" si="7">IF(B17="FX",N17,0)</f>
        <v>0</v>
      </c>
      <c r="W17" s="187">
        <f t="shared" ref="W17:W48" si="8">IF(D17="O",IF(V17&lt;0,V17,0),0)</f>
        <v>0</v>
      </c>
      <c r="X17" s="187">
        <f t="shared" ref="X17:X48" si="9">IF(B17="COM",N17,0)</f>
        <v>0</v>
      </c>
      <c r="Y17" s="187">
        <f t="shared" ref="Y17:Y48" si="10">IF(D17="O",IF(X17&lt;0,X17,0),0)</f>
        <v>0</v>
      </c>
      <c r="Z17" s="187">
        <f t="shared" ref="Z17:Z48" si="11">IF(B17="IND",N17,0)</f>
        <v>2.74</v>
      </c>
      <c r="AA17" s="183">
        <f t="shared" ref="AA17:AA48" si="12">IF(D17="O",IF(Z17&lt;0,Z17,0),0)</f>
        <v>0</v>
      </c>
      <c r="AB17" s="187">
        <f t="shared" ref="AB17:AB48" si="13">IF(B17="CRYPTO",N17,0)</f>
        <v>0</v>
      </c>
      <c r="AC17" s="183">
        <f t="shared" ref="AC17:AC48" si="14">IF(D17="O",IF(AB17&lt;0,AB17,0),0)</f>
        <v>0</v>
      </c>
      <c r="AD17" s="188">
        <f t="shared" ref="AD17:AD48" si="15">IF(K17&lt;&gt;"",K17-E17,0)</f>
        <v>2.0881944444408873</v>
      </c>
      <c r="AE17" s="188">
        <f t="shared" ref="AE17:AE48" si="16">IF(N17&gt;0,AD17,0)</f>
        <v>2.0881944444408873</v>
      </c>
      <c r="AF17" s="188">
        <f t="shared" ref="AF17:AF48" si="17">IF(N17&lt;0,AD17,0)</f>
        <v>0</v>
      </c>
      <c r="AG17" s="188">
        <f t="shared" ref="AG17:AG48" si="18">IF(N17=0,AD17,0)</f>
        <v>0</v>
      </c>
      <c r="AH17" s="154"/>
      <c r="AI17" s="87"/>
    </row>
    <row r="18" spans="1:35" ht="15" customHeight="1" x14ac:dyDescent="0.15">
      <c r="B18" s="174" t="s">
        <v>5</v>
      </c>
      <c r="C18" s="175" t="s">
        <v>15</v>
      </c>
      <c r="D18" s="176" t="str">
        <f t="shared" si="0"/>
        <v>C</v>
      </c>
      <c r="E18" s="177" t="d">
        <v>2021-12-23T13:30:00.000</v>
      </c>
      <c r="F18" s="178" t="s">
        <v>80</v>
      </c>
      <c r="G18" s="179">
        <v>15688.31</v>
      </c>
      <c r="H18" s="179">
        <v>15640.46</v>
      </c>
      <c r="I18" s="180">
        <f t="shared" si="1"/>
        <v>47.850000000000364</v>
      </c>
      <c r="J18" s="179">
        <v>16039.23</v>
      </c>
      <c r="K18" s="177" t="d">
        <v>2021-12-27T09:33:00.00000016763806350</v>
      </c>
      <c r="L18" s="179">
        <v>15687.67</v>
      </c>
      <c r="M18" s="181">
        <f t="shared" si="2"/>
        <v>-0.64</v>
      </c>
      <c r="N18" s="182">
        <f t="shared" si="3"/>
        <v>-0.01</v>
      </c>
      <c r="O18" s="183">
        <f t="shared" si="4"/>
        <v>0</v>
      </c>
      <c r="P18" s="184">
        <f t="shared" si="5"/>
        <v>0</v>
      </c>
      <c r="Q18" s="184">
        <f t="shared" si="6"/>
        <v>-0.01</v>
      </c>
      <c r="R18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8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29305</v>
      </c>
      <c r="T18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29337.5</v>
      </c>
      <c r="U18" s="186">
        <f ca="1">IF(Tabla336106734810[[#This Row],[Equity]]&lt;Tabla336106734810[[#This Row],[Equity Peak]],(Tabla336106734810[[#This Row],[Equity Peak]]-Tabla336106734810[[#This Row],[Equity]])/Tabla336106734810[[#This Row],[Equity Peak]],"")</f>
        <v>1.107797187899446E-3</v>
      </c>
      <c r="V18" s="187">
        <f t="shared" si="7"/>
        <v>0</v>
      </c>
      <c r="W18" s="187">
        <f t="shared" si="8"/>
        <v>0</v>
      </c>
      <c r="X18" s="187">
        <f t="shared" si="9"/>
        <v>0</v>
      </c>
      <c r="Y18" s="187">
        <f t="shared" si="10"/>
        <v>0</v>
      </c>
      <c r="Z18" s="187">
        <f t="shared" si="11"/>
        <v>-0.01</v>
      </c>
      <c r="AA18" s="183">
        <f t="shared" si="12"/>
        <v>0</v>
      </c>
      <c r="AB18" s="187">
        <f t="shared" si="13"/>
        <v>0</v>
      </c>
      <c r="AC18" s="183">
        <f t="shared" si="14"/>
        <v>0</v>
      </c>
      <c r="AD18" s="188">
        <f t="shared" si="15"/>
        <v>3.8354166666686069</v>
      </c>
      <c r="AE18" s="188">
        <f t="shared" si="16"/>
        <v>0</v>
      </c>
      <c r="AF18" s="188">
        <f t="shared" si="17"/>
        <v>3.8354166666686069</v>
      </c>
      <c r="AG18" s="188">
        <f t="shared" si="18"/>
        <v>0</v>
      </c>
    </row>
    <row r="19" spans="1:35" ht="15" customHeight="1" x14ac:dyDescent="0.15">
      <c r="B19" s="174" t="s">
        <v>5</v>
      </c>
      <c r="C19" s="175" t="s">
        <v>13</v>
      </c>
      <c r="D19" s="176" t="str">
        <f t="shared" si="0"/>
        <v>C</v>
      </c>
      <c r="E19" s="177" t="d">
        <v>2021-12-20T02:29:59.99999979045242400</v>
      </c>
      <c r="F19" s="178" t="s">
        <v>80</v>
      </c>
      <c r="G19" s="179">
        <v>15372.81</v>
      </c>
      <c r="H19" s="179">
        <v>15450.69</v>
      </c>
      <c r="I19" s="180">
        <f t="shared" si="1"/>
        <v>77.880000000001019</v>
      </c>
      <c r="J19" s="179">
        <v>14801.69</v>
      </c>
      <c r="K19" s="177" t="d">
        <v>2021-12-20T12:23:00.000000097788870375</v>
      </c>
      <c r="L19" s="179">
        <v>15226.27</v>
      </c>
      <c r="M19" s="181">
        <f t="shared" si="2"/>
        <v>146.54</v>
      </c>
      <c r="N19" s="182">
        <f t="shared" si="3"/>
        <v>1.88</v>
      </c>
      <c r="O19" s="183">
        <f t="shared" si="4"/>
        <v>0</v>
      </c>
      <c r="P19" s="184">
        <f t="shared" si="5"/>
        <v>1.88</v>
      </c>
      <c r="Q19" s="184">
        <f t="shared" si="6"/>
        <v>0</v>
      </c>
      <c r="R19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9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29307.5</v>
      </c>
      <c r="T19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29337.5</v>
      </c>
      <c r="U19" s="186">
        <f ca="1">IF(Tabla336106734810[[#This Row],[Equity]]&lt;Tabla336106734810[[#This Row],[Equity Peak]],(Tabla336106734810[[#This Row],[Equity Peak]]-Tabla336106734810[[#This Row],[Equity]])/Tabla336106734810[[#This Row],[Equity Peak]],"")</f>
        <v>1.0225820195994887E-3</v>
      </c>
      <c r="V19" s="187">
        <f t="shared" si="7"/>
        <v>0</v>
      </c>
      <c r="W19" s="187">
        <f t="shared" si="8"/>
        <v>0</v>
      </c>
      <c r="X19" s="187">
        <f t="shared" si="9"/>
        <v>0</v>
      </c>
      <c r="Y19" s="187">
        <f t="shared" si="10"/>
        <v>0</v>
      </c>
      <c r="Z19" s="187">
        <f t="shared" si="11"/>
        <v>1.88</v>
      </c>
      <c r="AA19" s="183">
        <f t="shared" si="12"/>
        <v>0</v>
      </c>
      <c r="AB19" s="187">
        <f t="shared" si="13"/>
        <v>0</v>
      </c>
      <c r="AC19" s="183">
        <f t="shared" si="14"/>
        <v>0</v>
      </c>
      <c r="AD19" s="188">
        <f t="shared" si="15"/>
        <v>0.41180555555911269</v>
      </c>
      <c r="AE19" s="188">
        <f t="shared" si="16"/>
        <v>0.41180555555911269</v>
      </c>
      <c r="AF19" s="188">
        <f t="shared" si="17"/>
        <v>0</v>
      </c>
      <c r="AG19" s="188">
        <f t="shared" si="18"/>
        <v>0</v>
      </c>
    </row>
    <row r="20" spans="1:35" ht="15" customHeight="1" x14ac:dyDescent="0.15">
      <c r="B20" s="174" t="s">
        <v>5</v>
      </c>
      <c r="C20" s="175" t="s">
        <v>13</v>
      </c>
      <c r="D20" s="176" t="str">
        <f t="shared" si="0"/>
        <v>C</v>
      </c>
      <c r="E20" s="177" t="d">
        <v>2021-12-14T18:00:00.000</v>
      </c>
      <c r="F20" s="178" t="s">
        <v>80</v>
      </c>
      <c r="G20" s="179">
        <v>15456.37</v>
      </c>
      <c r="H20" s="179">
        <v>15518.34</v>
      </c>
      <c r="I20" s="180">
        <f t="shared" si="1"/>
        <v>61.969999999999345</v>
      </c>
      <c r="J20" s="179">
        <v>15001.96</v>
      </c>
      <c r="K20" s="177" t="d">
        <v>2021-12-15T02:15:00.000</v>
      </c>
      <c r="L20" s="179">
        <v>15518.34</v>
      </c>
      <c r="M20" s="181">
        <f t="shared" si="2"/>
        <v>-61.97</v>
      </c>
      <c r="N20" s="182">
        <f t="shared" si="3"/>
        <v>-1</v>
      </c>
      <c r="O20" s="183">
        <f t="shared" si="4"/>
        <v>0</v>
      </c>
      <c r="P20" s="184">
        <f t="shared" si="5"/>
        <v>0</v>
      </c>
      <c r="Q20" s="184">
        <f t="shared" si="6"/>
        <v>-1</v>
      </c>
      <c r="R20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0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28837.5</v>
      </c>
      <c r="T20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29337.5</v>
      </c>
      <c r="U20" s="186">
        <f ca="1">IF(Tabla336106734810[[#This Row],[Equity]]&lt;Tabla336106734810[[#This Row],[Equity Peak]],(Tabla336106734810[[#This Row],[Equity Peak]]-Tabla336106734810[[#This Row],[Equity]])/Tabla336106734810[[#This Row],[Equity Peak]],"")</f>
        <v>1.7043033659991477E-2</v>
      </c>
      <c r="V20" s="187">
        <f t="shared" si="7"/>
        <v>0</v>
      </c>
      <c r="W20" s="187">
        <f t="shared" si="8"/>
        <v>0</v>
      </c>
      <c r="X20" s="187">
        <f t="shared" si="9"/>
        <v>0</v>
      </c>
      <c r="Y20" s="187">
        <f t="shared" si="10"/>
        <v>0</v>
      </c>
      <c r="Z20" s="187">
        <f t="shared" si="11"/>
        <v>-1</v>
      </c>
      <c r="AA20" s="183">
        <f t="shared" si="12"/>
        <v>0</v>
      </c>
      <c r="AB20" s="187">
        <f t="shared" si="13"/>
        <v>0</v>
      </c>
      <c r="AC20" s="183">
        <f t="shared" si="14"/>
        <v>0</v>
      </c>
      <c r="AD20" s="188">
        <f t="shared" si="15"/>
        <v>0.34375</v>
      </c>
      <c r="AE20" s="188">
        <f t="shared" si="16"/>
        <v>0</v>
      </c>
      <c r="AF20" s="188">
        <f t="shared" si="17"/>
        <v>0.34375</v>
      </c>
      <c r="AG20" s="188">
        <f t="shared" si="18"/>
        <v>0</v>
      </c>
    </row>
    <row r="21" spans="1:35" ht="15" customHeight="1" x14ac:dyDescent="0.15">
      <c r="B21" s="174" t="s">
        <v>5</v>
      </c>
      <c r="C21" s="175" t="s">
        <v>13</v>
      </c>
      <c r="D21" s="176" t="str">
        <f t="shared" si="0"/>
        <v>C</v>
      </c>
      <c r="E21" s="177" t="d">
        <v>2021-12-14T16:30:00.000</v>
      </c>
      <c r="F21" s="178" t="s">
        <v>80</v>
      </c>
      <c r="G21" s="179">
        <v>15502.37</v>
      </c>
      <c r="H21" s="179">
        <v>15560.44</v>
      </c>
      <c r="I21" s="180">
        <f t="shared" si="1"/>
        <v>58.069999999999709</v>
      </c>
      <c r="J21" s="179">
        <v>15076.56</v>
      </c>
      <c r="K21" s="177" t="d">
        <v>2021-12-14T16:47:00.00000018160789875</v>
      </c>
      <c r="L21" s="179">
        <v>15560.44</v>
      </c>
      <c r="M21" s="181">
        <f t="shared" si="2"/>
        <v>-58.07</v>
      </c>
      <c r="N21" s="182">
        <f t="shared" si="3"/>
        <v>-1</v>
      </c>
      <c r="O21" s="183">
        <f t="shared" si="4"/>
        <v>0</v>
      </c>
      <c r="P21" s="184">
        <f t="shared" si="5"/>
        <v>0</v>
      </c>
      <c r="Q21" s="184">
        <f t="shared" si="6"/>
        <v>-1</v>
      </c>
      <c r="R21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1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29087.5</v>
      </c>
      <c r="T21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29337.5</v>
      </c>
      <c r="U21" s="186">
        <f ca="1">IF(Tabla336106734810[[#This Row],[Equity]]&lt;Tabla336106734810[[#This Row],[Equity Peak]],(Tabla336106734810[[#This Row],[Equity Peak]]-Tabla336106734810[[#This Row],[Equity]])/Tabla336106734810[[#This Row],[Equity Peak]],"")</f>
        <v>8.5215168299957386E-3</v>
      </c>
      <c r="V21" s="187">
        <f t="shared" si="7"/>
        <v>0</v>
      </c>
      <c r="W21" s="187">
        <f t="shared" si="8"/>
        <v>0</v>
      </c>
      <c r="X21" s="187">
        <f t="shared" si="9"/>
        <v>0</v>
      </c>
      <c r="Y21" s="187">
        <f t="shared" si="10"/>
        <v>0</v>
      </c>
      <c r="Z21" s="187">
        <f t="shared" si="11"/>
        <v>-1</v>
      </c>
      <c r="AA21" s="183">
        <f t="shared" si="12"/>
        <v>0</v>
      </c>
      <c r="AB21" s="187">
        <f t="shared" si="13"/>
        <v>0</v>
      </c>
      <c r="AC21" s="183">
        <f t="shared" si="14"/>
        <v>0</v>
      </c>
      <c r="AD21" s="188">
        <f t="shared" si="15"/>
        <v>1.1805555557657499E-2</v>
      </c>
      <c r="AE21" s="188">
        <f t="shared" si="16"/>
        <v>0</v>
      </c>
      <c r="AF21" s="188">
        <f t="shared" si="17"/>
        <v>1.1805555557657499E-2</v>
      </c>
      <c r="AG21" s="188">
        <f t="shared" si="18"/>
        <v>0</v>
      </c>
    </row>
    <row r="22" spans="1:35" ht="15" customHeight="1" x14ac:dyDescent="0.15">
      <c r="B22" s="174" t="s">
        <v>5</v>
      </c>
      <c r="C22" s="175" t="s">
        <v>15</v>
      </c>
      <c r="D22" s="176" t="str">
        <f t="shared" si="0"/>
        <v>C</v>
      </c>
      <c r="E22" s="177" t="d">
        <v>2021-12-07T10:44:59.99999979045242400</v>
      </c>
      <c r="F22" s="178" t="s">
        <v>80</v>
      </c>
      <c r="G22" s="179">
        <v>15629.66</v>
      </c>
      <c r="H22" s="179">
        <v>15544.17</v>
      </c>
      <c r="I22" s="180">
        <f t="shared" si="1"/>
        <v>85.489999999999782</v>
      </c>
      <c r="J22" s="179">
        <v>16256.59</v>
      </c>
      <c r="K22" s="177" t="d">
        <v>2021-12-08T12:31:59.99999997206032275</v>
      </c>
      <c r="L22" s="179">
        <v>15722.14</v>
      </c>
      <c r="M22" s="181">
        <f t="shared" si="2"/>
        <v>92.48</v>
      </c>
      <c r="N22" s="182">
        <f t="shared" si="3"/>
        <v>1.08</v>
      </c>
      <c r="O22" s="183">
        <f t="shared" si="4"/>
        <v>0</v>
      </c>
      <c r="P22" s="184">
        <f t="shared" si="5"/>
        <v>1.08</v>
      </c>
      <c r="Q22" s="184">
        <f t="shared" si="6"/>
        <v>0</v>
      </c>
      <c r="R22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2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29337.5</v>
      </c>
      <c r="T22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29337.5</v>
      </c>
      <c r="U22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22" s="187">
        <f t="shared" si="7"/>
        <v>0</v>
      </c>
      <c r="W22" s="187">
        <f t="shared" si="8"/>
        <v>0</v>
      </c>
      <c r="X22" s="187">
        <f t="shared" si="9"/>
        <v>0</v>
      </c>
      <c r="Y22" s="187">
        <f t="shared" si="10"/>
        <v>0</v>
      </c>
      <c r="Z22" s="187">
        <f t="shared" si="11"/>
        <v>1.08</v>
      </c>
      <c r="AA22" s="183">
        <f t="shared" si="12"/>
        <v>0</v>
      </c>
      <c r="AB22" s="187">
        <f t="shared" si="13"/>
        <v>0</v>
      </c>
      <c r="AC22" s="183">
        <f t="shared" si="14"/>
        <v>0</v>
      </c>
      <c r="AD22" s="188">
        <f t="shared" si="15"/>
        <v>1.0743055555576575</v>
      </c>
      <c r="AE22" s="188">
        <f t="shared" si="16"/>
        <v>1.0743055555576575</v>
      </c>
      <c r="AF22" s="188">
        <f t="shared" si="17"/>
        <v>0</v>
      </c>
      <c r="AG22" s="188">
        <f t="shared" si="18"/>
        <v>0</v>
      </c>
    </row>
    <row r="23" spans="1:35" ht="15" customHeight="1" x14ac:dyDescent="0.15">
      <c r="B23" s="174" t="s">
        <v>5</v>
      </c>
      <c r="C23" s="175" t="s">
        <v>13</v>
      </c>
      <c r="D23" s="176" t="str">
        <f t="shared" si="0"/>
        <v>C</v>
      </c>
      <c r="E23" s="177" t="d">
        <v>2021-11-26T03:45:00.000</v>
      </c>
      <c r="F23" s="178" t="s">
        <v>80</v>
      </c>
      <c r="G23" s="179">
        <v>15713.7</v>
      </c>
      <c r="H23" s="179">
        <v>15769.79</v>
      </c>
      <c r="I23" s="180">
        <f t="shared" si="1"/>
        <v>56.090000000000146</v>
      </c>
      <c r="J23" s="179">
        <v>15302.35</v>
      </c>
      <c r="K23" s="177" t="d">
        <v>2021-11-26T10:22:59.99999988824129100</v>
      </c>
      <c r="L23" s="179">
        <v>15302.35</v>
      </c>
      <c r="M23" s="181">
        <f t="shared" si="2"/>
        <v>411.35</v>
      </c>
      <c r="N23" s="182">
        <f t="shared" si="3"/>
        <v>7.33</v>
      </c>
      <c r="O23" s="183">
        <f t="shared" si="4"/>
        <v>0</v>
      </c>
      <c r="P23" s="184">
        <f t="shared" si="5"/>
        <v>7.33</v>
      </c>
      <c r="Q23" s="184">
        <f t="shared" si="6"/>
        <v>0</v>
      </c>
      <c r="R23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3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29067.5</v>
      </c>
      <c r="T23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29067.5</v>
      </c>
      <c r="U23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23" s="187">
        <f t="shared" si="7"/>
        <v>0</v>
      </c>
      <c r="W23" s="187">
        <f t="shared" si="8"/>
        <v>0</v>
      </c>
      <c r="X23" s="187">
        <f t="shared" si="9"/>
        <v>0</v>
      </c>
      <c r="Y23" s="187">
        <f t="shared" si="10"/>
        <v>0</v>
      </c>
      <c r="Z23" s="187">
        <f t="shared" si="11"/>
        <v>7.33</v>
      </c>
      <c r="AA23" s="183">
        <f t="shared" si="12"/>
        <v>0</v>
      </c>
      <c r="AB23" s="187">
        <f t="shared" si="13"/>
        <v>0</v>
      </c>
      <c r="AC23" s="183">
        <f t="shared" si="14"/>
        <v>0</v>
      </c>
      <c r="AD23" s="188">
        <f t="shared" si="15"/>
        <v>0.27638888888759539</v>
      </c>
      <c r="AE23" s="188">
        <f t="shared" si="16"/>
        <v>0.27638888888759539</v>
      </c>
      <c r="AF23" s="188">
        <f t="shared" si="17"/>
        <v>0</v>
      </c>
      <c r="AG23" s="188">
        <f t="shared" si="18"/>
        <v>0</v>
      </c>
    </row>
    <row r="24" spans="1:35" ht="15" customHeight="1" x14ac:dyDescent="0.15">
      <c r="B24" s="174" t="s">
        <v>5</v>
      </c>
      <c r="C24" s="175" t="s">
        <v>13</v>
      </c>
      <c r="D24" s="176" t="str">
        <f t="shared" si="0"/>
        <v>C</v>
      </c>
      <c r="E24" s="177" t="d">
        <v>2021-11-23T09:14:59.99999979045242400</v>
      </c>
      <c r="F24" s="178" t="s">
        <v>80</v>
      </c>
      <c r="G24" s="179">
        <v>16005.77</v>
      </c>
      <c r="H24" s="179">
        <v>16063.82</v>
      </c>
      <c r="I24" s="180">
        <f t="shared" si="1"/>
        <v>58.049999999999272</v>
      </c>
      <c r="J24" s="179">
        <v>15580.08</v>
      </c>
      <c r="K24" s="177" t="d">
        <v>2021-11-23T13:57:00.00000025145709525</v>
      </c>
      <c r="L24" s="179">
        <v>16000.08</v>
      </c>
      <c r="M24" s="181">
        <f t="shared" si="2"/>
        <v>5.69</v>
      </c>
      <c r="N24" s="182">
        <f t="shared" si="3"/>
        <v>0.1</v>
      </c>
      <c r="O24" s="183">
        <f t="shared" si="4"/>
        <v>0</v>
      </c>
      <c r="P24" s="184">
        <f t="shared" si="5"/>
        <v>0.1</v>
      </c>
      <c r="Q24" s="184">
        <f t="shared" si="6"/>
        <v>0</v>
      </c>
      <c r="R24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4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27235</v>
      </c>
      <c r="T24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28062.5</v>
      </c>
      <c r="U24" s="186">
        <f ca="1">IF(Tabla336106734810[[#This Row],[Equity]]&lt;Tabla336106734810[[#This Row],[Equity Peak]],(Tabla336106734810[[#This Row],[Equity Peak]]-Tabla336106734810[[#This Row],[Equity]])/Tabla336106734810[[#This Row],[Equity Peak]],"")</f>
        <v>2.9487750556792872E-2</v>
      </c>
      <c r="V24" s="187">
        <f t="shared" si="7"/>
        <v>0</v>
      </c>
      <c r="W24" s="187">
        <f t="shared" si="8"/>
        <v>0</v>
      </c>
      <c r="X24" s="187">
        <f t="shared" si="9"/>
        <v>0</v>
      </c>
      <c r="Y24" s="187">
        <f t="shared" si="10"/>
        <v>0</v>
      </c>
      <c r="Z24" s="187">
        <f t="shared" si="11"/>
        <v>0.1</v>
      </c>
      <c r="AA24" s="183">
        <f t="shared" si="12"/>
        <v>0</v>
      </c>
      <c r="AB24" s="187">
        <f t="shared" si="13"/>
        <v>0</v>
      </c>
      <c r="AC24" s="183">
        <f t="shared" si="14"/>
        <v>0</v>
      </c>
      <c r="AD24" s="188">
        <f t="shared" si="15"/>
        <v>0.19583333333866904</v>
      </c>
      <c r="AE24" s="188">
        <f t="shared" si="16"/>
        <v>0.19583333333866904</v>
      </c>
      <c r="AF24" s="188">
        <f t="shared" si="17"/>
        <v>0</v>
      </c>
      <c r="AG24" s="188">
        <f t="shared" si="18"/>
        <v>0</v>
      </c>
    </row>
    <row r="25" spans="1:35" ht="15" customHeight="1" x14ac:dyDescent="0.15">
      <c r="B25" s="174" t="s">
        <v>5</v>
      </c>
      <c r="C25" s="175" t="s">
        <v>15</v>
      </c>
      <c r="D25" s="176" t="str">
        <f t="shared" si="0"/>
        <v>C</v>
      </c>
      <c r="E25" s="177" t="d">
        <v>2021-11-19T08:45:00.00000020954757600</v>
      </c>
      <c r="F25" s="178" t="s">
        <v>80</v>
      </c>
      <c r="G25" s="179">
        <v>16298.99</v>
      </c>
      <c r="H25" s="179">
        <v>16269.45</v>
      </c>
      <c r="I25" s="180">
        <f t="shared" si="1"/>
        <v>29.539999999999054</v>
      </c>
      <c r="J25" s="179">
        <v>16515.62</v>
      </c>
      <c r="K25" s="177" t="d">
        <v>2021-11-19T09:59:00.00000022351741800</v>
      </c>
      <c r="L25" s="179">
        <v>16269.45</v>
      </c>
      <c r="M25" s="181">
        <f t="shared" si="2"/>
        <v>-29.54</v>
      </c>
      <c r="N25" s="182">
        <f t="shared" si="3"/>
        <v>-1</v>
      </c>
      <c r="O25" s="183">
        <f t="shared" si="4"/>
        <v>0</v>
      </c>
      <c r="P25" s="184">
        <f t="shared" si="5"/>
        <v>0</v>
      </c>
      <c r="Q25" s="184">
        <f t="shared" si="6"/>
        <v>-1</v>
      </c>
      <c r="R25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5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27210</v>
      </c>
      <c r="T25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28062.5</v>
      </c>
      <c r="U25" s="186">
        <f ca="1">IF(Tabla336106734810[[#This Row],[Equity]]&lt;Tabla336106734810[[#This Row],[Equity Peak]],(Tabla336106734810[[#This Row],[Equity Peak]]-Tabla336106734810[[#This Row],[Equity]])/Tabla336106734810[[#This Row],[Equity Peak]],"")</f>
        <v>3.0378619153674832E-2</v>
      </c>
      <c r="V25" s="187">
        <f t="shared" si="7"/>
        <v>0</v>
      </c>
      <c r="W25" s="187">
        <f t="shared" si="8"/>
        <v>0</v>
      </c>
      <c r="X25" s="187">
        <f t="shared" si="9"/>
        <v>0</v>
      </c>
      <c r="Y25" s="187">
        <f t="shared" si="10"/>
        <v>0</v>
      </c>
      <c r="Z25" s="187">
        <f t="shared" si="11"/>
        <v>-1</v>
      </c>
      <c r="AA25" s="183">
        <f t="shared" si="12"/>
        <v>0</v>
      </c>
      <c r="AB25" s="187">
        <f t="shared" si="13"/>
        <v>0</v>
      </c>
      <c r="AC25" s="183">
        <f t="shared" si="14"/>
        <v>0</v>
      </c>
      <c r="AD25" s="188">
        <f t="shared" si="15"/>
        <v>5.1388888889050577E-2</v>
      </c>
      <c r="AE25" s="188">
        <f t="shared" si="16"/>
        <v>0</v>
      </c>
      <c r="AF25" s="188">
        <f t="shared" si="17"/>
        <v>5.1388888889050577E-2</v>
      </c>
      <c r="AG25" s="188">
        <f t="shared" si="18"/>
        <v>0</v>
      </c>
    </row>
    <row r="26" spans="1:35" ht="15" customHeight="1" x14ac:dyDescent="0.15">
      <c r="B26" s="174" t="s">
        <v>5</v>
      </c>
      <c r="C26" s="175" t="s">
        <v>15</v>
      </c>
      <c r="D26" s="176" t="str">
        <f t="shared" si="0"/>
        <v>C</v>
      </c>
      <c r="E26" s="177" t="d">
        <v>2021-11-16T09:30:00.00000020954757600</v>
      </c>
      <c r="F26" s="178" t="s">
        <v>80</v>
      </c>
      <c r="G26" s="179">
        <v>16168.73</v>
      </c>
      <c r="H26" s="179">
        <v>16139.88</v>
      </c>
      <c r="I26" s="180">
        <f t="shared" si="1"/>
        <v>28.850000000000364</v>
      </c>
      <c r="J26" s="179">
        <v>16380.29</v>
      </c>
      <c r="K26" s="177" t="d">
        <v>2021-11-18T12:01:00.00000019557774075</v>
      </c>
      <c r="L26" s="179">
        <v>16243.39</v>
      </c>
      <c r="M26" s="181">
        <f t="shared" si="2"/>
        <v>74.66</v>
      </c>
      <c r="N26" s="182">
        <f t="shared" si="3"/>
        <v>2.59</v>
      </c>
      <c r="O26" s="183">
        <f t="shared" si="4"/>
        <v>0</v>
      </c>
      <c r="P26" s="184">
        <f t="shared" si="5"/>
        <v>2.59</v>
      </c>
      <c r="Q26" s="184">
        <f t="shared" si="6"/>
        <v>0</v>
      </c>
      <c r="R26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6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27460</v>
      </c>
      <c r="T26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28062.5</v>
      </c>
      <c r="U26" s="186">
        <f ca="1">IF(Tabla336106734810[[#This Row],[Equity]]&lt;Tabla336106734810[[#This Row],[Equity Peak]],(Tabla336106734810[[#This Row],[Equity Peak]]-Tabla336106734810[[#This Row],[Equity]])/Tabla336106734810[[#This Row],[Equity Peak]],"")</f>
        <v>2.1469933184855235E-2</v>
      </c>
      <c r="V26" s="187">
        <f t="shared" si="7"/>
        <v>0</v>
      </c>
      <c r="W26" s="187">
        <f t="shared" si="8"/>
        <v>0</v>
      </c>
      <c r="X26" s="187">
        <f t="shared" si="9"/>
        <v>0</v>
      </c>
      <c r="Y26" s="187">
        <f t="shared" si="10"/>
        <v>0</v>
      </c>
      <c r="Z26" s="187">
        <f t="shared" si="11"/>
        <v>2.59</v>
      </c>
      <c r="AA26" s="183">
        <f t="shared" si="12"/>
        <v>0</v>
      </c>
      <c r="AB26" s="187">
        <f t="shared" si="13"/>
        <v>0</v>
      </c>
      <c r="AC26" s="183">
        <f t="shared" si="14"/>
        <v>0</v>
      </c>
      <c r="AD26" s="188">
        <f t="shared" si="15"/>
        <v>2.1048611111109494</v>
      </c>
      <c r="AE26" s="188">
        <f t="shared" si="16"/>
        <v>2.1048611111109494</v>
      </c>
      <c r="AF26" s="188">
        <f t="shared" si="17"/>
        <v>0</v>
      </c>
      <c r="AG26" s="188">
        <f t="shared" si="18"/>
        <v>0</v>
      </c>
    </row>
    <row r="27" spans="1:35" ht="15" customHeight="1" x14ac:dyDescent="0.15">
      <c r="B27" s="174" t="s">
        <v>5</v>
      </c>
      <c r="C27" s="175" t="s">
        <v>15</v>
      </c>
      <c r="D27" s="176" t="str">
        <f t="shared" si="0"/>
        <v>C</v>
      </c>
      <c r="E27" s="177" t="d">
        <v>2021-11-16T03:59:59.99999979045242400</v>
      </c>
      <c r="F27" s="178" t="s">
        <v>80</v>
      </c>
      <c r="G27" s="179">
        <v>16156.63</v>
      </c>
      <c r="H27" s="179">
        <v>16126.7</v>
      </c>
      <c r="I27" s="180">
        <f t="shared" si="1"/>
        <v>29.929999999998472</v>
      </c>
      <c r="J27" s="179">
        <v>16376.11</v>
      </c>
      <c r="K27" s="177" t="d">
        <v>2021-11-16T08:26:59.99999983236193650</v>
      </c>
      <c r="L27" s="179">
        <v>16126.7</v>
      </c>
      <c r="M27" s="181">
        <f t="shared" si="2"/>
        <v>-29.93</v>
      </c>
      <c r="N27" s="182">
        <f t="shared" si="3"/>
        <v>-1</v>
      </c>
      <c r="O27" s="183">
        <f t="shared" si="4"/>
        <v>0</v>
      </c>
      <c r="P27" s="184">
        <f t="shared" si="5"/>
        <v>0</v>
      </c>
      <c r="Q27" s="184">
        <f t="shared" si="6"/>
        <v>-1</v>
      </c>
      <c r="R27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7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26812.5</v>
      </c>
      <c r="T27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28062.5</v>
      </c>
      <c r="U27" s="186">
        <f ca="1">IF(Tabla336106734810[[#This Row],[Equity]]&lt;Tabla336106734810[[#This Row],[Equity Peak]],(Tabla336106734810[[#This Row],[Equity Peak]]-Tabla336106734810[[#This Row],[Equity]])/Tabla336106734810[[#This Row],[Equity Peak]],"")</f>
        <v>4.4543429844097995E-2</v>
      </c>
      <c r="V27" s="187">
        <f t="shared" si="7"/>
        <v>0</v>
      </c>
      <c r="W27" s="187">
        <f t="shared" si="8"/>
        <v>0</v>
      </c>
      <c r="X27" s="187">
        <f t="shared" si="9"/>
        <v>0</v>
      </c>
      <c r="Y27" s="187">
        <f t="shared" si="10"/>
        <v>0</v>
      </c>
      <c r="Z27" s="187">
        <f t="shared" si="11"/>
        <v>-1</v>
      </c>
      <c r="AA27" s="183">
        <f t="shared" si="12"/>
        <v>0</v>
      </c>
      <c r="AB27" s="187">
        <f t="shared" si="13"/>
        <v>0</v>
      </c>
      <c r="AC27" s="183">
        <f t="shared" si="14"/>
        <v>0</v>
      </c>
      <c r="AD27" s="188">
        <f t="shared" si="15"/>
        <v>0.18541666666715173</v>
      </c>
      <c r="AE27" s="188">
        <f t="shared" si="16"/>
        <v>0</v>
      </c>
      <c r="AF27" s="188">
        <f t="shared" si="17"/>
        <v>0.18541666666715173</v>
      </c>
      <c r="AG27" s="188">
        <f t="shared" si="18"/>
        <v>0</v>
      </c>
    </row>
    <row r="28" spans="1:35" ht="15" customHeight="1" x14ac:dyDescent="0.15">
      <c r="B28" s="174" t="s">
        <v>5</v>
      </c>
      <c r="C28" s="175" t="s">
        <v>15</v>
      </c>
      <c r="D28" s="176" t="str">
        <f t="shared" si="0"/>
        <v>C</v>
      </c>
      <c r="E28" s="177" t="d">
        <v>2021-11-15T15:00:00.000</v>
      </c>
      <c r="F28" s="178" t="s">
        <v>80</v>
      </c>
      <c r="G28" s="179">
        <v>16133.15</v>
      </c>
      <c r="H28" s="179">
        <v>16105.27</v>
      </c>
      <c r="I28" s="180">
        <f t="shared" si="1"/>
        <v>27.8799999999992</v>
      </c>
      <c r="J28" s="179">
        <v>16337.63</v>
      </c>
      <c r="K28" s="177" t="d">
        <v>2021-11-15T16:47:59.99999974854290475</v>
      </c>
      <c r="L28" s="179">
        <v>16105.27</v>
      </c>
      <c r="M28" s="181">
        <f t="shared" si="2"/>
        <v>-27.88</v>
      </c>
      <c r="N28" s="182">
        <f t="shared" si="3"/>
        <v>-1</v>
      </c>
      <c r="O28" s="183">
        <f t="shared" si="4"/>
        <v>0</v>
      </c>
      <c r="P28" s="184">
        <f t="shared" si="5"/>
        <v>0</v>
      </c>
      <c r="Q28" s="184">
        <f t="shared" si="6"/>
        <v>-1</v>
      </c>
      <c r="R28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8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27062.5</v>
      </c>
      <c r="T28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28062.5</v>
      </c>
      <c r="U28" s="186">
        <f ca="1">IF(Tabla336106734810[[#This Row],[Equity]]&lt;Tabla336106734810[[#This Row],[Equity Peak]],(Tabla336106734810[[#This Row],[Equity Peak]]-Tabla336106734810[[#This Row],[Equity]])/Tabla336106734810[[#This Row],[Equity Peak]],"")</f>
        <v>3.5634743875278395E-2</v>
      </c>
      <c r="V28" s="187">
        <f t="shared" si="7"/>
        <v>0</v>
      </c>
      <c r="W28" s="187">
        <f t="shared" si="8"/>
        <v>0</v>
      </c>
      <c r="X28" s="187">
        <f t="shared" si="9"/>
        <v>0</v>
      </c>
      <c r="Y28" s="187">
        <f t="shared" si="10"/>
        <v>0</v>
      </c>
      <c r="Z28" s="187">
        <f t="shared" si="11"/>
        <v>-1</v>
      </c>
      <c r="AA28" s="183">
        <f t="shared" si="12"/>
        <v>0</v>
      </c>
      <c r="AB28" s="187">
        <f t="shared" si="13"/>
        <v>0</v>
      </c>
      <c r="AC28" s="183">
        <f t="shared" si="14"/>
        <v>0</v>
      </c>
      <c r="AD28" s="188">
        <f t="shared" si="15"/>
        <v>7.4999999997089617E-2</v>
      </c>
      <c r="AE28" s="188">
        <f t="shared" si="16"/>
        <v>0</v>
      </c>
      <c r="AF28" s="188">
        <f t="shared" si="17"/>
        <v>7.4999999997089617E-2</v>
      </c>
      <c r="AG28" s="188">
        <f t="shared" si="18"/>
        <v>0</v>
      </c>
    </row>
    <row r="29" spans="1:35" ht="15" customHeight="1" x14ac:dyDescent="0.15">
      <c r="B29" s="174" t="s">
        <v>5</v>
      </c>
      <c r="C29" s="175" t="s">
        <v>15</v>
      </c>
      <c r="D29" s="176" t="str">
        <f t="shared" si="0"/>
        <v>C</v>
      </c>
      <c r="E29" s="177" t="d">
        <v>2021-11-12T02:29:59.99999979045242400</v>
      </c>
      <c r="F29" s="178" t="s">
        <v>80</v>
      </c>
      <c r="G29" s="179">
        <v>16119.78</v>
      </c>
      <c r="H29" s="179">
        <v>16079.93</v>
      </c>
      <c r="I29" s="180">
        <f t="shared" si="1"/>
        <v>39.850000000000364</v>
      </c>
      <c r="J29" s="179">
        <v>16412.04</v>
      </c>
      <c r="K29" s="177" t="d">
        <v>2021-11-12T09:33:00.00000016763806350</v>
      </c>
      <c r="L29" s="179">
        <v>16079.93</v>
      </c>
      <c r="M29" s="181">
        <f t="shared" si="2"/>
        <v>-39.85</v>
      </c>
      <c r="N29" s="182">
        <f t="shared" si="3"/>
        <v>-1</v>
      </c>
      <c r="O29" s="183">
        <f t="shared" si="4"/>
        <v>0</v>
      </c>
      <c r="P29" s="184">
        <f t="shared" si="5"/>
        <v>0</v>
      </c>
      <c r="Q29" s="184">
        <f t="shared" si="6"/>
        <v>-1</v>
      </c>
      <c r="R29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9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27312.5</v>
      </c>
      <c r="T29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28062.5</v>
      </c>
      <c r="U29" s="186">
        <f ca="1">IF(Tabla336106734810[[#This Row],[Equity]]&lt;Tabla336106734810[[#This Row],[Equity Peak]],(Tabla336106734810[[#This Row],[Equity Peak]]-Tabla336106734810[[#This Row],[Equity]])/Tabla336106734810[[#This Row],[Equity Peak]],"")</f>
        <v>2.6726057906458798E-2</v>
      </c>
      <c r="V29" s="187">
        <f t="shared" si="7"/>
        <v>0</v>
      </c>
      <c r="W29" s="187">
        <f t="shared" si="8"/>
        <v>0</v>
      </c>
      <c r="X29" s="187">
        <f t="shared" si="9"/>
        <v>0</v>
      </c>
      <c r="Y29" s="187">
        <f t="shared" si="10"/>
        <v>0</v>
      </c>
      <c r="Z29" s="187">
        <f t="shared" si="11"/>
        <v>-1</v>
      </c>
      <c r="AA29" s="183">
        <f t="shared" si="12"/>
        <v>0</v>
      </c>
      <c r="AB29" s="187">
        <f t="shared" si="13"/>
        <v>0</v>
      </c>
      <c r="AC29" s="183">
        <f t="shared" si="14"/>
        <v>0</v>
      </c>
      <c r="AD29" s="188">
        <f t="shared" si="15"/>
        <v>0.29375000000436557</v>
      </c>
      <c r="AE29" s="188">
        <f t="shared" si="16"/>
        <v>0</v>
      </c>
      <c r="AF29" s="188">
        <f t="shared" si="17"/>
        <v>0.29375000000436557</v>
      </c>
      <c r="AG29" s="188">
        <f t="shared" si="18"/>
        <v>0</v>
      </c>
    </row>
    <row r="30" spans="1:35" ht="15" customHeight="1" x14ac:dyDescent="0.15">
      <c r="B30" s="174" t="s">
        <v>5</v>
      </c>
      <c r="C30" s="175" t="s">
        <v>15</v>
      </c>
      <c r="D30" s="176" t="str">
        <f t="shared" si="0"/>
        <v>C</v>
      </c>
      <c r="E30" s="177" t="d">
        <v>2021-11-11T11:29:59.99999979045242400</v>
      </c>
      <c r="F30" s="178" t="s">
        <v>80</v>
      </c>
      <c r="G30" s="179">
        <v>16109.66</v>
      </c>
      <c r="H30" s="179">
        <v>16068.68</v>
      </c>
      <c r="I30" s="180">
        <f t="shared" si="1"/>
        <v>40.979999999999563</v>
      </c>
      <c r="J30" s="179">
        <v>16410.2</v>
      </c>
      <c r="K30" s="177" t="d">
        <v>2021-11-11T12:36:00.00000012572854425</v>
      </c>
      <c r="L30" s="179">
        <v>16068.68</v>
      </c>
      <c r="M30" s="181">
        <f t="shared" si="2"/>
        <v>-40.98</v>
      </c>
      <c r="N30" s="182">
        <f t="shared" si="3"/>
        <v>-1</v>
      </c>
      <c r="O30" s="183">
        <f t="shared" si="4"/>
        <v>0</v>
      </c>
      <c r="P30" s="184">
        <f t="shared" si="5"/>
        <v>0</v>
      </c>
      <c r="Q30" s="184">
        <f t="shared" si="6"/>
        <v>-1</v>
      </c>
      <c r="R30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0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27562.5</v>
      </c>
      <c r="T30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28062.5</v>
      </c>
      <c r="U30" s="186">
        <f ca="1">IF(Tabla336106734810[[#This Row],[Equity]]&lt;Tabla336106734810[[#This Row],[Equity Peak]],(Tabla336106734810[[#This Row],[Equity Peak]]-Tabla336106734810[[#This Row],[Equity]])/Tabla336106734810[[#This Row],[Equity Peak]],"")</f>
        <v>1.7817371937639197E-2</v>
      </c>
      <c r="V30" s="187">
        <f t="shared" si="7"/>
        <v>0</v>
      </c>
      <c r="W30" s="187">
        <f t="shared" si="8"/>
        <v>0</v>
      </c>
      <c r="X30" s="187">
        <f t="shared" si="9"/>
        <v>0</v>
      </c>
      <c r="Y30" s="187">
        <f t="shared" si="10"/>
        <v>0</v>
      </c>
      <c r="Z30" s="187">
        <f t="shared" si="11"/>
        <v>-1</v>
      </c>
      <c r="AA30" s="183">
        <f t="shared" si="12"/>
        <v>0</v>
      </c>
      <c r="AB30" s="187">
        <f t="shared" si="13"/>
        <v>0</v>
      </c>
      <c r="AC30" s="183">
        <f t="shared" si="14"/>
        <v>0</v>
      </c>
      <c r="AD30" s="188">
        <f t="shared" si="15"/>
        <v>4.5833333337213844E-2</v>
      </c>
      <c r="AE30" s="188">
        <f t="shared" si="16"/>
        <v>0</v>
      </c>
      <c r="AF30" s="188">
        <f t="shared" si="17"/>
        <v>4.5833333337213844E-2</v>
      </c>
      <c r="AG30" s="188">
        <f t="shared" si="18"/>
        <v>0</v>
      </c>
    </row>
    <row r="31" spans="1:35" ht="15" customHeight="1" x14ac:dyDescent="0.15">
      <c r="B31" s="174" t="s">
        <v>5</v>
      </c>
      <c r="C31" s="175" t="s">
        <v>15</v>
      </c>
      <c r="D31" s="176" t="str">
        <f t="shared" si="0"/>
        <v>C</v>
      </c>
      <c r="E31" s="177" t="d">
        <v>2021-11-09T13:30:00.000</v>
      </c>
      <c r="F31" s="178" t="s">
        <v>80</v>
      </c>
      <c r="G31" s="179">
        <v>16092.17</v>
      </c>
      <c r="H31" s="179">
        <v>16058.61</v>
      </c>
      <c r="I31" s="180">
        <f t="shared" si="1"/>
        <v>33.559999999999491</v>
      </c>
      <c r="J31" s="179">
        <v>16338.27</v>
      </c>
      <c r="K31" s="177" t="d">
        <v>2021-11-09T16:47:59.99999974854290475</v>
      </c>
      <c r="L31" s="179">
        <v>16058.61</v>
      </c>
      <c r="M31" s="181">
        <f t="shared" si="2"/>
        <v>-33.56</v>
      </c>
      <c r="N31" s="182">
        <f t="shared" si="3"/>
        <v>-1</v>
      </c>
      <c r="O31" s="183">
        <f t="shared" si="4"/>
        <v>0</v>
      </c>
      <c r="P31" s="184">
        <f t="shared" si="5"/>
        <v>0</v>
      </c>
      <c r="Q31" s="184">
        <f t="shared" si="6"/>
        <v>-1</v>
      </c>
      <c r="R31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1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27812.5</v>
      </c>
      <c r="T31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28062.5</v>
      </c>
      <c r="U31" s="186">
        <f ca="1">IF(Tabla336106734810[[#This Row],[Equity]]&lt;Tabla336106734810[[#This Row],[Equity Peak]],(Tabla336106734810[[#This Row],[Equity Peak]]-Tabla336106734810[[#This Row],[Equity]])/Tabla336106734810[[#This Row],[Equity Peak]],"")</f>
        <v>8.9086859688195987E-3</v>
      </c>
      <c r="V31" s="187">
        <f t="shared" si="7"/>
        <v>0</v>
      </c>
      <c r="W31" s="187">
        <f t="shared" si="8"/>
        <v>0</v>
      </c>
      <c r="X31" s="187">
        <f t="shared" si="9"/>
        <v>0</v>
      </c>
      <c r="Y31" s="187">
        <f t="shared" si="10"/>
        <v>0</v>
      </c>
      <c r="Z31" s="187">
        <f t="shared" si="11"/>
        <v>-1</v>
      </c>
      <c r="AA31" s="183">
        <f t="shared" si="12"/>
        <v>0</v>
      </c>
      <c r="AB31" s="187">
        <f t="shared" si="13"/>
        <v>0</v>
      </c>
      <c r="AC31" s="183">
        <f t="shared" si="14"/>
        <v>0</v>
      </c>
      <c r="AD31" s="188">
        <f t="shared" si="15"/>
        <v>0.13749999999708962</v>
      </c>
      <c r="AE31" s="188">
        <f t="shared" si="16"/>
        <v>0</v>
      </c>
      <c r="AF31" s="188">
        <f t="shared" si="17"/>
        <v>0.13749999999708962</v>
      </c>
      <c r="AG31" s="188">
        <f t="shared" si="18"/>
        <v>0</v>
      </c>
    </row>
    <row r="32" spans="1:35" ht="15" customHeight="1" x14ac:dyDescent="0.15">
      <c r="B32" s="174" t="s">
        <v>5</v>
      </c>
      <c r="C32" s="175" t="s">
        <v>15</v>
      </c>
      <c r="D32" s="176" t="str">
        <f t="shared" si="0"/>
        <v>C</v>
      </c>
      <c r="E32" s="177" t="d">
        <v>2021-11-02T11:45:00.00000020954757600</v>
      </c>
      <c r="F32" s="178" t="s">
        <v>80</v>
      </c>
      <c r="G32" s="179">
        <v>15863.44</v>
      </c>
      <c r="H32" s="179">
        <v>15819.22</v>
      </c>
      <c r="I32" s="180">
        <f t="shared" si="1"/>
        <v>44.220000000001164</v>
      </c>
      <c r="J32" s="179">
        <v>16187.69</v>
      </c>
      <c r="K32" s="177" t="d">
        <v>2021-11-05T10:25:59.99999984633177850</v>
      </c>
      <c r="L32" s="179">
        <v>16003.31</v>
      </c>
      <c r="M32" s="181">
        <f t="shared" si="2"/>
        <v>139.87</v>
      </c>
      <c r="N32" s="182">
        <f t="shared" si="3"/>
        <v>3.16</v>
      </c>
      <c r="O32" s="183">
        <f t="shared" si="4"/>
        <v>0</v>
      </c>
      <c r="P32" s="184">
        <f t="shared" si="5"/>
        <v>3.16</v>
      </c>
      <c r="Q32" s="184">
        <f t="shared" si="6"/>
        <v>0</v>
      </c>
      <c r="R32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2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28062.5</v>
      </c>
      <c r="T32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28062.5</v>
      </c>
      <c r="U32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32" s="187">
        <f t="shared" si="7"/>
        <v>0</v>
      </c>
      <c r="W32" s="187">
        <f t="shared" si="8"/>
        <v>0</v>
      </c>
      <c r="X32" s="187">
        <f t="shared" si="9"/>
        <v>0</v>
      </c>
      <c r="Y32" s="187">
        <f t="shared" si="10"/>
        <v>0</v>
      </c>
      <c r="Z32" s="187">
        <f t="shared" si="11"/>
        <v>3.16</v>
      </c>
      <c r="AA32" s="183">
        <f t="shared" si="12"/>
        <v>0</v>
      </c>
      <c r="AB32" s="187">
        <f t="shared" si="13"/>
        <v>0</v>
      </c>
      <c r="AC32" s="183">
        <f t="shared" si="14"/>
        <v>0</v>
      </c>
      <c r="AD32" s="188">
        <f t="shared" si="15"/>
        <v>2.945138888884685</v>
      </c>
      <c r="AE32" s="188">
        <f t="shared" si="16"/>
        <v>2.945138888884685</v>
      </c>
      <c r="AF32" s="188">
        <f t="shared" si="17"/>
        <v>0</v>
      </c>
      <c r="AG32" s="188">
        <f t="shared" si="18"/>
        <v>0</v>
      </c>
    </row>
    <row r="33" spans="2:33" ht="15" customHeight="1" x14ac:dyDescent="0.15">
      <c r="B33" s="174" t="s">
        <v>5</v>
      </c>
      <c r="C33" s="175" t="s">
        <v>15</v>
      </c>
      <c r="D33" s="176" t="str">
        <f t="shared" si="0"/>
        <v>C</v>
      </c>
      <c r="E33" s="177" t="d">
        <v>2021-11-01T11:15:00.000</v>
      </c>
      <c r="F33" s="178" t="s">
        <v>80</v>
      </c>
      <c r="G33" s="179">
        <v>15787.6</v>
      </c>
      <c r="H33" s="179">
        <v>15732.94</v>
      </c>
      <c r="I33" s="180">
        <f t="shared" si="1"/>
        <v>54.659999999999854</v>
      </c>
      <c r="J33" s="179">
        <v>16188.42</v>
      </c>
      <c r="K33" s="177" t="d">
        <v>2021-11-01T16:31:00.00000019557774075</v>
      </c>
      <c r="L33" s="179">
        <v>15755.93</v>
      </c>
      <c r="M33" s="181">
        <f t="shared" si="2"/>
        <v>-31.67</v>
      </c>
      <c r="N33" s="182">
        <f t="shared" si="3"/>
        <v>-0.57999999999999996</v>
      </c>
      <c r="O33" s="183">
        <f t="shared" si="4"/>
        <v>0</v>
      </c>
      <c r="P33" s="184">
        <f t="shared" si="5"/>
        <v>0</v>
      </c>
      <c r="Q33" s="184">
        <f t="shared" si="6"/>
        <v>-0.57999999999999996</v>
      </c>
      <c r="R33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3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27272.5</v>
      </c>
      <c r="T33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27667.5</v>
      </c>
      <c r="U33" s="186">
        <f ca="1">IF(Tabla336106734810[[#This Row],[Equity]]&lt;Tabla336106734810[[#This Row],[Equity Peak]],(Tabla336106734810[[#This Row],[Equity Peak]]-Tabla336106734810[[#This Row],[Equity]])/Tabla336106734810[[#This Row],[Equity Peak]],"")</f>
        <v>1.4276678413300804E-2</v>
      </c>
      <c r="V33" s="187">
        <f t="shared" si="7"/>
        <v>0</v>
      </c>
      <c r="W33" s="187">
        <f t="shared" si="8"/>
        <v>0</v>
      </c>
      <c r="X33" s="187">
        <f t="shared" si="9"/>
        <v>0</v>
      </c>
      <c r="Y33" s="187">
        <f t="shared" si="10"/>
        <v>0</v>
      </c>
      <c r="Z33" s="187">
        <f t="shared" si="11"/>
        <v>-0.57999999999999996</v>
      </c>
      <c r="AA33" s="183">
        <f t="shared" si="12"/>
        <v>0</v>
      </c>
      <c r="AB33" s="187">
        <f t="shared" si="13"/>
        <v>0</v>
      </c>
      <c r="AC33" s="183">
        <f t="shared" si="14"/>
        <v>0</v>
      </c>
      <c r="AD33" s="188">
        <f t="shared" si="15"/>
        <v>0.21944444444670808</v>
      </c>
      <c r="AE33" s="188">
        <f t="shared" si="16"/>
        <v>0</v>
      </c>
      <c r="AF33" s="188">
        <f t="shared" si="17"/>
        <v>0.21944444444670808</v>
      </c>
      <c r="AG33" s="188">
        <f t="shared" si="18"/>
        <v>0</v>
      </c>
    </row>
    <row r="34" spans="2:33" ht="15" customHeight="1" x14ac:dyDescent="0.15">
      <c r="B34" s="174" t="s">
        <v>5</v>
      </c>
      <c r="C34" s="175" t="s">
        <v>13</v>
      </c>
      <c r="D34" s="176" t="str">
        <f t="shared" si="0"/>
        <v>C</v>
      </c>
      <c r="E34" s="177" t="d">
        <v>2021-10-29T13:30:00.000</v>
      </c>
      <c r="F34" s="178" t="s">
        <v>80</v>
      </c>
      <c r="G34" s="179">
        <v>15504.67</v>
      </c>
      <c r="H34" s="179">
        <v>15555.98</v>
      </c>
      <c r="I34" s="180">
        <f t="shared" si="1"/>
        <v>51.309999999999491</v>
      </c>
      <c r="J34" s="179">
        <v>15128.41</v>
      </c>
      <c r="K34" s="177" t="d">
        <v>2021-10-29T13:57:00.00000025145709525</v>
      </c>
      <c r="L34" s="179">
        <v>15555.98</v>
      </c>
      <c r="M34" s="181">
        <f t="shared" si="2"/>
        <v>-51.31</v>
      </c>
      <c r="N34" s="182">
        <f t="shared" si="3"/>
        <v>-1</v>
      </c>
      <c r="O34" s="183">
        <f t="shared" si="4"/>
        <v>0</v>
      </c>
      <c r="P34" s="184">
        <f t="shared" si="5"/>
        <v>0</v>
      </c>
      <c r="Q34" s="184">
        <f t="shared" si="6"/>
        <v>-1</v>
      </c>
      <c r="R34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4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27417.5</v>
      </c>
      <c r="T34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27667.5</v>
      </c>
      <c r="U34" s="186">
        <f ca="1">IF(Tabla336106734810[[#This Row],[Equity]]&lt;Tabla336106734810[[#This Row],[Equity Peak]],(Tabla336106734810[[#This Row],[Equity Peak]]-Tabla336106734810[[#This Row],[Equity]])/Tabla336106734810[[#This Row],[Equity Peak]],"")</f>
        <v>9.0358724134815219E-3</v>
      </c>
      <c r="V34" s="187">
        <f t="shared" si="7"/>
        <v>0</v>
      </c>
      <c r="W34" s="187">
        <f t="shared" si="8"/>
        <v>0</v>
      </c>
      <c r="X34" s="187">
        <f t="shared" si="9"/>
        <v>0</v>
      </c>
      <c r="Y34" s="187">
        <f t="shared" si="10"/>
        <v>0</v>
      </c>
      <c r="Z34" s="187">
        <f t="shared" si="11"/>
        <v>-1</v>
      </c>
      <c r="AA34" s="183">
        <f t="shared" si="12"/>
        <v>0</v>
      </c>
      <c r="AB34" s="187">
        <f t="shared" si="13"/>
        <v>0</v>
      </c>
      <c r="AC34" s="183">
        <f t="shared" si="14"/>
        <v>0</v>
      </c>
      <c r="AD34" s="188">
        <f t="shared" si="15"/>
        <v>1.8750000002910383E-2</v>
      </c>
      <c r="AE34" s="188">
        <f t="shared" si="16"/>
        <v>0</v>
      </c>
      <c r="AF34" s="188">
        <f t="shared" si="17"/>
        <v>1.8750000002910383E-2</v>
      </c>
      <c r="AG34" s="188">
        <f t="shared" si="18"/>
        <v>0</v>
      </c>
    </row>
    <row r="35" spans="2:33" ht="15" customHeight="1" x14ac:dyDescent="0.15">
      <c r="B35" s="174" t="s">
        <v>5</v>
      </c>
      <c r="C35" s="175" t="s">
        <v>15</v>
      </c>
      <c r="D35" s="176" t="str">
        <f t="shared" si="0"/>
        <v>C</v>
      </c>
      <c r="E35" s="177" t="d">
        <v>2021-10-25T18:30:00.00000020954757600</v>
      </c>
      <c r="F35" s="178" t="s">
        <v>80</v>
      </c>
      <c r="G35" s="179">
        <v>15614.02</v>
      </c>
      <c r="H35" s="179">
        <v>15569.78</v>
      </c>
      <c r="I35" s="180">
        <f t="shared" si="1"/>
        <v>44.239999999999782</v>
      </c>
      <c r="J35" s="179">
        <v>15938.44</v>
      </c>
      <c r="K35" s="177" t="d">
        <v>2021-10-27T09:59:59.99999979045242400</v>
      </c>
      <c r="L35" s="179">
        <v>15706.37</v>
      </c>
      <c r="M35" s="181">
        <f t="shared" si="2"/>
        <v>92.35</v>
      </c>
      <c r="N35" s="182">
        <f t="shared" si="3"/>
        <v>2.09</v>
      </c>
      <c r="O35" s="183">
        <f t="shared" si="4"/>
        <v>0</v>
      </c>
      <c r="P35" s="184">
        <f t="shared" si="5"/>
        <v>2.09</v>
      </c>
      <c r="Q35" s="184">
        <f t="shared" si="6"/>
        <v>0</v>
      </c>
      <c r="R35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5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27667.5</v>
      </c>
      <c r="T35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27667.5</v>
      </c>
      <c r="U35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35" s="187">
        <f t="shared" si="7"/>
        <v>0</v>
      </c>
      <c r="W35" s="187">
        <f t="shared" si="8"/>
        <v>0</v>
      </c>
      <c r="X35" s="187">
        <f t="shared" si="9"/>
        <v>0</v>
      </c>
      <c r="Y35" s="187">
        <f t="shared" si="10"/>
        <v>0</v>
      </c>
      <c r="Z35" s="187">
        <f t="shared" si="11"/>
        <v>2.09</v>
      </c>
      <c r="AA35" s="183">
        <f t="shared" si="12"/>
        <v>0</v>
      </c>
      <c r="AB35" s="187">
        <f t="shared" si="13"/>
        <v>0</v>
      </c>
      <c r="AC35" s="183">
        <f t="shared" si="14"/>
        <v>0</v>
      </c>
      <c r="AD35" s="188">
        <f t="shared" si="15"/>
        <v>1.6458333333284827</v>
      </c>
      <c r="AE35" s="188">
        <f t="shared" si="16"/>
        <v>1.6458333333284827</v>
      </c>
      <c r="AF35" s="188">
        <f t="shared" si="17"/>
        <v>0</v>
      </c>
      <c r="AG35" s="188">
        <f t="shared" si="18"/>
        <v>0</v>
      </c>
    </row>
    <row r="36" spans="2:33" ht="15" customHeight="1" x14ac:dyDescent="0.15">
      <c r="B36" s="174" t="s">
        <v>5</v>
      </c>
      <c r="C36" s="175" t="s">
        <v>15</v>
      </c>
      <c r="D36" s="176" t="str">
        <f t="shared" si="0"/>
        <v>C</v>
      </c>
      <c r="E36" s="177" t="d">
        <v>2021-10-22T14:15:00.000</v>
      </c>
      <c r="F36" s="178" t="s">
        <v>80</v>
      </c>
      <c r="G36" s="179">
        <v>15603.11</v>
      </c>
      <c r="H36" s="179">
        <v>15559.55</v>
      </c>
      <c r="I36" s="180">
        <f t="shared" si="1"/>
        <v>43.56000000000131</v>
      </c>
      <c r="J36" s="179">
        <v>15922.57</v>
      </c>
      <c r="K36" s="177" t="d">
        <v>2021-10-22T18:21:59.99999990221113300</v>
      </c>
      <c r="L36" s="179">
        <v>15559.55</v>
      </c>
      <c r="M36" s="181">
        <f t="shared" si="2"/>
        <v>-43.56</v>
      </c>
      <c r="N36" s="182">
        <f t="shared" si="3"/>
        <v>-1</v>
      </c>
      <c r="O36" s="183">
        <f t="shared" si="4"/>
        <v>0</v>
      </c>
      <c r="P36" s="184">
        <f t="shared" si="5"/>
        <v>0</v>
      </c>
      <c r="Q36" s="184">
        <f t="shared" si="6"/>
        <v>-1</v>
      </c>
      <c r="R36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6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27145</v>
      </c>
      <c r="T36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27395</v>
      </c>
      <c r="U36" s="186">
        <f ca="1">IF(Tabla336106734810[[#This Row],[Equity]]&lt;Tabla336106734810[[#This Row],[Equity Peak]],(Tabla336106734810[[#This Row],[Equity Peak]]-Tabla336106734810[[#This Row],[Equity]])/Tabla336106734810[[#This Row],[Equity Peak]],"")</f>
        <v>9.1257528746121561E-3</v>
      </c>
      <c r="V36" s="187">
        <f t="shared" si="7"/>
        <v>0</v>
      </c>
      <c r="W36" s="187">
        <f t="shared" si="8"/>
        <v>0</v>
      </c>
      <c r="X36" s="187">
        <f t="shared" si="9"/>
        <v>0</v>
      </c>
      <c r="Y36" s="187">
        <f t="shared" si="10"/>
        <v>0</v>
      </c>
      <c r="Z36" s="187">
        <f t="shared" si="11"/>
        <v>-1</v>
      </c>
      <c r="AA36" s="183">
        <f t="shared" si="12"/>
        <v>0</v>
      </c>
      <c r="AB36" s="187">
        <f t="shared" si="13"/>
        <v>0</v>
      </c>
      <c r="AC36" s="183">
        <f t="shared" si="14"/>
        <v>0</v>
      </c>
      <c r="AD36" s="188">
        <f t="shared" si="15"/>
        <v>0.17152777777664596</v>
      </c>
      <c r="AE36" s="188">
        <f t="shared" si="16"/>
        <v>0</v>
      </c>
      <c r="AF36" s="188">
        <f t="shared" si="17"/>
        <v>0.17152777777664596</v>
      </c>
      <c r="AG36" s="188">
        <f t="shared" si="18"/>
        <v>0</v>
      </c>
    </row>
    <row r="37" spans="2:33" ht="15" customHeight="1" x14ac:dyDescent="0.15">
      <c r="B37" s="174" t="s">
        <v>5</v>
      </c>
      <c r="C37" s="175" t="s">
        <v>15</v>
      </c>
      <c r="D37" s="176" t="str">
        <f t="shared" si="0"/>
        <v>C</v>
      </c>
      <c r="E37" s="177" t="d">
        <v>2021-10-14T03:30:00.00000020954757600</v>
      </c>
      <c r="F37" s="178" t="s">
        <v>80</v>
      </c>
      <c r="G37" s="179">
        <v>15312.55</v>
      </c>
      <c r="H37" s="179">
        <v>15253.91</v>
      </c>
      <c r="I37" s="180">
        <f t="shared" si="1"/>
        <v>58.639999999999418</v>
      </c>
      <c r="J37" s="179">
        <v>15742.55</v>
      </c>
      <c r="K37" s="177" t="d">
        <v>2021-10-18T09:17:00.00000018160789875</v>
      </c>
      <c r="L37" s="179">
        <v>15520.39</v>
      </c>
      <c r="M37" s="181">
        <f t="shared" si="2"/>
        <v>207.84</v>
      </c>
      <c r="N37" s="182">
        <f t="shared" si="3"/>
        <v>3.54</v>
      </c>
      <c r="O37" s="183">
        <f t="shared" si="4"/>
        <v>0</v>
      </c>
      <c r="P37" s="184">
        <f t="shared" si="5"/>
        <v>3.54</v>
      </c>
      <c r="Q37" s="184">
        <f t="shared" si="6"/>
        <v>0</v>
      </c>
      <c r="R37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7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27395</v>
      </c>
      <c r="T37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27395</v>
      </c>
      <c r="U37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37" s="187">
        <f t="shared" si="7"/>
        <v>0</v>
      </c>
      <c r="W37" s="187">
        <f t="shared" si="8"/>
        <v>0</v>
      </c>
      <c r="X37" s="187">
        <f t="shared" si="9"/>
        <v>0</v>
      </c>
      <c r="Y37" s="187">
        <f t="shared" si="10"/>
        <v>0</v>
      </c>
      <c r="Z37" s="187">
        <f t="shared" si="11"/>
        <v>3.54</v>
      </c>
      <c r="AA37" s="183">
        <f t="shared" si="12"/>
        <v>0</v>
      </c>
      <c r="AB37" s="187">
        <f t="shared" si="13"/>
        <v>0</v>
      </c>
      <c r="AC37" s="183">
        <f t="shared" si="14"/>
        <v>0</v>
      </c>
      <c r="AD37" s="188">
        <f t="shared" si="15"/>
        <v>4.2409722222218988</v>
      </c>
      <c r="AE37" s="188">
        <f t="shared" si="16"/>
        <v>4.2409722222218988</v>
      </c>
      <c r="AF37" s="188">
        <f t="shared" si="17"/>
        <v>0</v>
      </c>
      <c r="AG37" s="188">
        <f t="shared" si="18"/>
        <v>0</v>
      </c>
    </row>
    <row r="38" spans="2:33" ht="15" customHeight="1" x14ac:dyDescent="0.15">
      <c r="B38" s="174" t="s">
        <v>5</v>
      </c>
      <c r="C38" s="175" t="s">
        <v>13</v>
      </c>
      <c r="D38" s="176" t="str">
        <f t="shared" si="0"/>
        <v>C</v>
      </c>
      <c r="E38" s="177" t="d">
        <v>2021-10-06T10:30:00.000</v>
      </c>
      <c r="F38" s="178" t="s">
        <v>80</v>
      </c>
      <c r="G38" s="179">
        <v>14979.28</v>
      </c>
      <c r="H38" s="179">
        <v>15059.19</v>
      </c>
      <c r="I38" s="180">
        <f t="shared" si="1"/>
        <v>79.909999999999854</v>
      </c>
      <c r="J38" s="179">
        <v>14393.24</v>
      </c>
      <c r="K38" s="177" t="d">
        <v>2021-10-06T15:27:59.99999981839210125</v>
      </c>
      <c r="L38" s="179">
        <v>14962.72</v>
      </c>
      <c r="M38" s="181">
        <f t="shared" si="2"/>
        <v>16.559999999999999</v>
      </c>
      <c r="N38" s="182">
        <f t="shared" si="3"/>
        <v>0.21</v>
      </c>
      <c r="O38" s="183">
        <f t="shared" si="4"/>
        <v>0</v>
      </c>
      <c r="P38" s="184">
        <f t="shared" si="5"/>
        <v>0.21</v>
      </c>
      <c r="Q38" s="184">
        <f t="shared" si="6"/>
        <v>0</v>
      </c>
      <c r="R38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8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26510</v>
      </c>
      <c r="T38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26875</v>
      </c>
      <c r="U38" s="186">
        <f ca="1">IF(Tabla336106734810[[#This Row],[Equity]]&lt;Tabla336106734810[[#This Row],[Equity Peak]],(Tabla336106734810[[#This Row],[Equity Peak]]-Tabla336106734810[[#This Row],[Equity]])/Tabla336106734810[[#This Row],[Equity Peak]],"")</f>
        <v>1.3581395348837209E-2</v>
      </c>
      <c r="V38" s="187">
        <f t="shared" si="7"/>
        <v>0</v>
      </c>
      <c r="W38" s="187">
        <f t="shared" si="8"/>
        <v>0</v>
      </c>
      <c r="X38" s="187">
        <f t="shared" si="9"/>
        <v>0</v>
      </c>
      <c r="Y38" s="187">
        <f t="shared" si="10"/>
        <v>0</v>
      </c>
      <c r="Z38" s="187">
        <f t="shared" si="11"/>
        <v>0.21</v>
      </c>
      <c r="AA38" s="183">
        <f t="shared" si="12"/>
        <v>0</v>
      </c>
      <c r="AB38" s="187">
        <f t="shared" si="13"/>
        <v>0</v>
      </c>
      <c r="AC38" s="183">
        <f t="shared" si="14"/>
        <v>0</v>
      </c>
      <c r="AD38" s="188">
        <f t="shared" si="15"/>
        <v>0.2069444444423425</v>
      </c>
      <c r="AE38" s="188">
        <f t="shared" si="16"/>
        <v>0.2069444444423425</v>
      </c>
      <c r="AF38" s="188">
        <f t="shared" si="17"/>
        <v>0</v>
      </c>
      <c r="AG38" s="188">
        <f t="shared" si="18"/>
        <v>0</v>
      </c>
    </row>
    <row r="39" spans="2:33" ht="15" customHeight="1" x14ac:dyDescent="0.15">
      <c r="B39" s="174" t="s">
        <v>5</v>
      </c>
      <c r="C39" s="175" t="s">
        <v>13</v>
      </c>
      <c r="D39" s="176" t="str">
        <f t="shared" si="0"/>
        <v>C</v>
      </c>
      <c r="E39" s="177" t="d">
        <v>2021-10-01T04:15:00.00000020954757600</v>
      </c>
      <c r="F39" s="178" t="s">
        <v>80</v>
      </c>
      <c r="G39" s="179">
        <v>15123.12</v>
      </c>
      <c r="H39" s="179">
        <v>15203.57</v>
      </c>
      <c r="I39" s="180">
        <f t="shared" si="1"/>
        <v>80.449999999998909</v>
      </c>
      <c r="J39" s="179">
        <v>14533.12</v>
      </c>
      <c r="K39" s="177" t="d">
        <v>2021-10-01T10:56:00.00000005587935450</v>
      </c>
      <c r="L39" s="179">
        <v>15176</v>
      </c>
      <c r="M39" s="181">
        <f t="shared" si="2"/>
        <v>-52.88</v>
      </c>
      <c r="N39" s="182">
        <f t="shared" si="3"/>
        <v>-0.66</v>
      </c>
      <c r="O39" s="183">
        <f t="shared" si="4"/>
        <v>0</v>
      </c>
      <c r="P39" s="184">
        <f t="shared" si="5"/>
        <v>0</v>
      </c>
      <c r="Q39" s="184">
        <f t="shared" si="6"/>
        <v>-0.66</v>
      </c>
      <c r="R39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39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26457.5</v>
      </c>
      <c r="T39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26875</v>
      </c>
      <c r="U39" s="186">
        <f ca="1">IF(Tabla336106734810[[#This Row],[Equity]]&lt;Tabla336106734810[[#This Row],[Equity Peak]],(Tabla336106734810[[#This Row],[Equity Peak]]-Tabla336106734810[[#This Row],[Equity]])/Tabla336106734810[[#This Row],[Equity Peak]],"")</f>
        <v>1.5534883720930233E-2</v>
      </c>
      <c r="V39" s="187">
        <f t="shared" si="7"/>
        <v>0</v>
      </c>
      <c r="W39" s="187">
        <f t="shared" si="8"/>
        <v>0</v>
      </c>
      <c r="X39" s="187">
        <f t="shared" si="9"/>
        <v>0</v>
      </c>
      <c r="Y39" s="187">
        <f t="shared" si="10"/>
        <v>0</v>
      </c>
      <c r="Z39" s="187">
        <f t="shared" si="11"/>
        <v>-0.66</v>
      </c>
      <c r="AA39" s="183">
        <f t="shared" si="12"/>
        <v>0</v>
      </c>
      <c r="AB39" s="187">
        <f t="shared" si="13"/>
        <v>0</v>
      </c>
      <c r="AC39" s="183">
        <f t="shared" si="14"/>
        <v>0</v>
      </c>
      <c r="AD39" s="188">
        <f t="shared" si="15"/>
        <v>0.27847222222044365</v>
      </c>
      <c r="AE39" s="188">
        <f t="shared" si="16"/>
        <v>0</v>
      </c>
      <c r="AF39" s="188">
        <f t="shared" si="17"/>
        <v>0.27847222222044365</v>
      </c>
      <c r="AG39" s="188">
        <f t="shared" si="18"/>
        <v>0</v>
      </c>
    </row>
    <row r="40" spans="2:33" ht="15" customHeight="1" x14ac:dyDescent="0.15">
      <c r="B40" s="174" t="s">
        <v>5</v>
      </c>
      <c r="C40" s="175" t="s">
        <v>13</v>
      </c>
      <c r="D40" s="176" t="str">
        <f t="shared" si="0"/>
        <v>C</v>
      </c>
      <c r="E40" s="177" t="d">
        <v>2021-09-30T19:15:00.00000020954757600</v>
      </c>
      <c r="F40" s="178" t="s">
        <v>80</v>
      </c>
      <c r="G40" s="179">
        <v>15217.67</v>
      </c>
      <c r="H40" s="179">
        <v>15296.51</v>
      </c>
      <c r="I40" s="180">
        <f t="shared" si="1"/>
        <v>78.840000000000146</v>
      </c>
      <c r="J40" s="179">
        <v>14639.5</v>
      </c>
      <c r="K40" s="177" t="d">
        <v>2021-09-30T21:50:59.99999991618096825</v>
      </c>
      <c r="L40" s="179">
        <v>15296.51</v>
      </c>
      <c r="M40" s="181">
        <f t="shared" si="2"/>
        <v>-78.84</v>
      </c>
      <c r="N40" s="182">
        <f t="shared" si="3"/>
        <v>-1</v>
      </c>
      <c r="O40" s="183">
        <f t="shared" si="4"/>
        <v>0</v>
      </c>
      <c r="P40" s="184">
        <f t="shared" si="5"/>
        <v>0</v>
      </c>
      <c r="Q40" s="184">
        <f t="shared" si="6"/>
        <v>-1</v>
      </c>
      <c r="R40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0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26622.5</v>
      </c>
      <c r="T40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26875</v>
      </c>
      <c r="U40" s="186">
        <f ca="1">IF(Tabla336106734810[[#This Row],[Equity]]&lt;Tabla336106734810[[#This Row],[Equity Peak]],(Tabla336106734810[[#This Row],[Equity Peak]]-Tabla336106734810[[#This Row],[Equity]])/Tabla336106734810[[#This Row],[Equity Peak]],"")</f>
        <v>9.3953488372093032E-3</v>
      </c>
      <c r="V40" s="187">
        <f t="shared" si="7"/>
        <v>0</v>
      </c>
      <c r="W40" s="187">
        <f t="shared" si="8"/>
        <v>0</v>
      </c>
      <c r="X40" s="187">
        <f t="shared" si="9"/>
        <v>0</v>
      </c>
      <c r="Y40" s="187">
        <f t="shared" si="10"/>
        <v>0</v>
      </c>
      <c r="Z40" s="187">
        <f t="shared" si="11"/>
        <v>-1</v>
      </c>
      <c r="AA40" s="183">
        <f t="shared" si="12"/>
        <v>0</v>
      </c>
      <c r="AB40" s="187">
        <f t="shared" si="13"/>
        <v>0</v>
      </c>
      <c r="AC40" s="183">
        <f t="shared" si="14"/>
        <v>0</v>
      </c>
      <c r="AD40" s="188">
        <f t="shared" si="15"/>
        <v>0.10833333332993789</v>
      </c>
      <c r="AE40" s="188">
        <f t="shared" si="16"/>
        <v>0</v>
      </c>
      <c r="AF40" s="188">
        <f t="shared" si="17"/>
        <v>0.10833333332993789</v>
      </c>
      <c r="AG40" s="188">
        <f t="shared" si="18"/>
        <v>0</v>
      </c>
    </row>
    <row r="41" spans="2:33" ht="15" customHeight="1" x14ac:dyDescent="0.15">
      <c r="B41" s="174" t="s">
        <v>5</v>
      </c>
      <c r="C41" s="175" t="s">
        <v>13</v>
      </c>
      <c r="D41" s="176" t="str">
        <f t="shared" si="0"/>
        <v>C</v>
      </c>
      <c r="E41" s="177" t="d">
        <v>2021-09-28T17:00:00.00000020954757600</v>
      </c>
      <c r="F41" s="178" t="s">
        <v>80</v>
      </c>
      <c r="G41" s="179">
        <v>15341.47</v>
      </c>
      <c r="H41" s="179">
        <v>15400.64</v>
      </c>
      <c r="I41" s="180">
        <f t="shared" si="1"/>
        <v>59.170000000000073</v>
      </c>
      <c r="J41" s="179">
        <v>14907.53</v>
      </c>
      <c r="K41" s="177" t="d">
        <v>2021-09-29T09:01:00.00000019557774075</v>
      </c>
      <c r="L41" s="179">
        <v>15342.2</v>
      </c>
      <c r="M41" s="181">
        <f t="shared" si="2"/>
        <v>-0.73</v>
      </c>
      <c r="N41" s="182">
        <f t="shared" si="3"/>
        <v>-0.01</v>
      </c>
      <c r="O41" s="183">
        <f t="shared" si="4"/>
        <v>0</v>
      </c>
      <c r="P41" s="184">
        <f t="shared" si="5"/>
        <v>0</v>
      </c>
      <c r="Q41" s="184">
        <f t="shared" si="6"/>
        <v>-0.01</v>
      </c>
      <c r="R41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1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26872.5</v>
      </c>
      <c r="T41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26875</v>
      </c>
      <c r="U41" s="186">
        <f ca="1">IF(Tabla336106734810[[#This Row],[Equity]]&lt;Tabla336106734810[[#This Row],[Equity Peak]],(Tabla336106734810[[#This Row],[Equity Peak]]-Tabla336106734810[[#This Row],[Equity]])/Tabla336106734810[[#This Row],[Equity Peak]],"")</f>
        <v>9.3023255813953483E-5</v>
      </c>
      <c r="V41" s="187">
        <f t="shared" si="7"/>
        <v>0</v>
      </c>
      <c r="W41" s="187">
        <f t="shared" si="8"/>
        <v>0</v>
      </c>
      <c r="X41" s="187">
        <f t="shared" si="9"/>
        <v>0</v>
      </c>
      <c r="Y41" s="187">
        <f t="shared" si="10"/>
        <v>0</v>
      </c>
      <c r="Z41" s="187">
        <f t="shared" si="11"/>
        <v>-0.01</v>
      </c>
      <c r="AA41" s="183">
        <f t="shared" si="12"/>
        <v>0</v>
      </c>
      <c r="AB41" s="187">
        <f t="shared" si="13"/>
        <v>0</v>
      </c>
      <c r="AC41" s="183">
        <f t="shared" si="14"/>
        <v>0</v>
      </c>
      <c r="AD41" s="188">
        <f t="shared" si="15"/>
        <v>0.66736111111094942</v>
      </c>
      <c r="AE41" s="188">
        <f t="shared" si="16"/>
        <v>0</v>
      </c>
      <c r="AF41" s="188">
        <f t="shared" si="17"/>
        <v>0.66736111111094942</v>
      </c>
      <c r="AG41" s="188">
        <f t="shared" si="18"/>
        <v>0</v>
      </c>
    </row>
    <row r="42" spans="2:33" ht="15" customHeight="1" x14ac:dyDescent="0.15">
      <c r="B42" s="174" t="s">
        <v>5</v>
      </c>
      <c r="C42" s="175" t="s">
        <v>13</v>
      </c>
      <c r="D42" s="176" t="str">
        <f t="shared" si="0"/>
        <v>C</v>
      </c>
      <c r="E42" s="177" t="d">
        <v>2021-09-17T17:15:00.000</v>
      </c>
      <c r="F42" s="178" t="s">
        <v>80</v>
      </c>
      <c r="G42" s="179">
        <v>15534.98</v>
      </c>
      <c r="H42" s="179">
        <v>15593.59</v>
      </c>
      <c r="I42" s="180">
        <f t="shared" si="1"/>
        <v>58.610000000000582</v>
      </c>
      <c r="J42" s="179">
        <v>15105.21</v>
      </c>
      <c r="K42" s="177" t="d">
        <v>2021-09-20T14:28:00.00000002793967725</v>
      </c>
      <c r="L42" s="179">
        <v>15105.21</v>
      </c>
      <c r="M42" s="181">
        <f t="shared" si="2"/>
        <v>429.77</v>
      </c>
      <c r="N42" s="182">
        <f t="shared" si="3"/>
        <v>7.33</v>
      </c>
      <c r="O42" s="183">
        <f t="shared" si="4"/>
        <v>0</v>
      </c>
      <c r="P42" s="184">
        <f t="shared" si="5"/>
        <v>7.33</v>
      </c>
      <c r="Q42" s="184">
        <f t="shared" si="6"/>
        <v>0</v>
      </c>
      <c r="R42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2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26875</v>
      </c>
      <c r="T42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26875</v>
      </c>
      <c r="U42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42" s="187">
        <f t="shared" si="7"/>
        <v>0</v>
      </c>
      <c r="W42" s="187">
        <f t="shared" si="8"/>
        <v>0</v>
      </c>
      <c r="X42" s="187">
        <f t="shared" si="9"/>
        <v>0</v>
      </c>
      <c r="Y42" s="187">
        <f t="shared" si="10"/>
        <v>0</v>
      </c>
      <c r="Z42" s="187">
        <f t="shared" si="11"/>
        <v>7.33</v>
      </c>
      <c r="AA42" s="183">
        <f t="shared" si="12"/>
        <v>0</v>
      </c>
      <c r="AB42" s="187">
        <f t="shared" si="13"/>
        <v>0</v>
      </c>
      <c r="AC42" s="183">
        <f t="shared" si="14"/>
        <v>0</v>
      </c>
      <c r="AD42" s="188">
        <f t="shared" si="15"/>
        <v>2.8840277777781012</v>
      </c>
      <c r="AE42" s="188">
        <f t="shared" si="16"/>
        <v>2.8840277777781012</v>
      </c>
      <c r="AF42" s="188">
        <f t="shared" si="17"/>
        <v>0</v>
      </c>
      <c r="AG42" s="188">
        <f t="shared" si="18"/>
        <v>0</v>
      </c>
    </row>
    <row r="43" spans="2:33" ht="15" customHeight="1" x14ac:dyDescent="0.15">
      <c r="B43" s="174" t="s">
        <v>5</v>
      </c>
      <c r="C43" s="175" t="s">
        <v>13</v>
      </c>
      <c r="D43" s="176" t="str">
        <f t="shared" si="0"/>
        <v>C</v>
      </c>
      <c r="E43" s="177" t="d">
        <v>2021-09-09T03:59:59.99999979045242400</v>
      </c>
      <c r="F43" s="178" t="s">
        <v>80</v>
      </c>
      <c r="G43" s="179">
        <v>15575.65</v>
      </c>
      <c r="H43" s="179">
        <v>15634.61</v>
      </c>
      <c r="I43" s="180">
        <f t="shared" si="1"/>
        <v>58.960000000000946</v>
      </c>
      <c r="J43" s="179">
        <v>15143.25</v>
      </c>
      <c r="K43" s="177" t="d">
        <v>2021-09-09T14:48:00.00000016763806350</v>
      </c>
      <c r="L43" s="179">
        <v>15591.49</v>
      </c>
      <c r="M43" s="181">
        <f t="shared" si="2"/>
        <v>-15.84</v>
      </c>
      <c r="N43" s="182">
        <f t="shared" si="3"/>
        <v>-0.27</v>
      </c>
      <c r="O43" s="183">
        <f t="shared" si="4"/>
        <v>0</v>
      </c>
      <c r="P43" s="184">
        <f t="shared" si="5"/>
        <v>0</v>
      </c>
      <c r="Q43" s="184">
        <f t="shared" si="6"/>
        <v>-0.27</v>
      </c>
      <c r="R43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3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25042.5</v>
      </c>
      <c r="T43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25707.5</v>
      </c>
      <c r="U43" s="186">
        <f ca="1">IF(Tabla336106734810[[#This Row],[Equity]]&lt;Tabla336106734810[[#This Row],[Equity Peak]],(Tabla336106734810[[#This Row],[Equity Peak]]-Tabla336106734810[[#This Row],[Equity]])/Tabla336106734810[[#This Row],[Equity Peak]],"")</f>
        <v>2.5867937372362152E-2</v>
      </c>
      <c r="V43" s="187">
        <f t="shared" si="7"/>
        <v>0</v>
      </c>
      <c r="W43" s="187">
        <f t="shared" si="8"/>
        <v>0</v>
      </c>
      <c r="X43" s="187">
        <f t="shared" si="9"/>
        <v>0</v>
      </c>
      <c r="Y43" s="187">
        <f t="shared" si="10"/>
        <v>0</v>
      </c>
      <c r="Z43" s="187">
        <f t="shared" si="11"/>
        <v>-0.27</v>
      </c>
      <c r="AA43" s="183">
        <f t="shared" si="12"/>
        <v>0</v>
      </c>
      <c r="AB43" s="187">
        <f t="shared" si="13"/>
        <v>0</v>
      </c>
      <c r="AC43" s="183">
        <f t="shared" si="14"/>
        <v>0</v>
      </c>
      <c r="AD43" s="188">
        <f t="shared" si="15"/>
        <v>0.45000000000436557</v>
      </c>
      <c r="AE43" s="188">
        <f t="shared" si="16"/>
        <v>0</v>
      </c>
      <c r="AF43" s="188">
        <f t="shared" si="17"/>
        <v>0.45000000000436557</v>
      </c>
      <c r="AG43" s="188">
        <f t="shared" si="18"/>
        <v>0</v>
      </c>
    </row>
    <row r="44" spans="2:33" ht="15" customHeight="1" x14ac:dyDescent="0.15">
      <c r="B44" s="174" t="s">
        <v>5</v>
      </c>
      <c r="C44" s="175" t="s">
        <v>13</v>
      </c>
      <c r="D44" s="176" t="str">
        <f t="shared" si="0"/>
        <v>C</v>
      </c>
      <c r="E44" s="177" t="d">
        <v>2021-09-08T10:15:00.00000020954757600</v>
      </c>
      <c r="F44" s="178" t="s">
        <v>80</v>
      </c>
      <c r="G44" s="179">
        <v>15661.94</v>
      </c>
      <c r="H44" s="179">
        <v>15702.91</v>
      </c>
      <c r="I44" s="180">
        <f t="shared" si="1"/>
        <v>40.969999999999345</v>
      </c>
      <c r="J44" s="179">
        <v>15361.46</v>
      </c>
      <c r="K44" s="177" t="d">
        <v>2021-09-08T12:49:59.9999997206032275</v>
      </c>
      <c r="L44" s="179">
        <v>15674.88</v>
      </c>
      <c r="M44" s="181">
        <f t="shared" si="2"/>
        <v>-12.94</v>
      </c>
      <c r="N44" s="182">
        <f t="shared" si="3"/>
        <v>-0.32</v>
      </c>
      <c r="O44" s="183">
        <f t="shared" si="4"/>
        <v>0</v>
      </c>
      <c r="P44" s="184">
        <f t="shared" si="5"/>
        <v>0</v>
      </c>
      <c r="Q44" s="184">
        <f t="shared" si="6"/>
        <v>-0.32</v>
      </c>
      <c r="R44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4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25110</v>
      </c>
      <c r="T44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25707.5</v>
      </c>
      <c r="U44" s="186">
        <f ca="1">IF(Tabla336106734810[[#This Row],[Equity]]&lt;Tabla336106734810[[#This Row],[Equity Peak]],(Tabla336106734810[[#This Row],[Equity Peak]]-Tabla336106734810[[#This Row],[Equity]])/Tabla336106734810[[#This Row],[Equity Peak]],"")</f>
        <v>2.3242244481182533E-2</v>
      </c>
      <c r="V44" s="187">
        <f t="shared" si="7"/>
        <v>0</v>
      </c>
      <c r="W44" s="187">
        <f t="shared" si="8"/>
        <v>0</v>
      </c>
      <c r="X44" s="187">
        <f t="shared" si="9"/>
        <v>0</v>
      </c>
      <c r="Y44" s="187">
        <f t="shared" si="10"/>
        <v>0</v>
      </c>
      <c r="Z44" s="187">
        <f t="shared" si="11"/>
        <v>-0.32</v>
      </c>
      <c r="AA44" s="183">
        <f t="shared" si="12"/>
        <v>0</v>
      </c>
      <c r="AB44" s="187">
        <f t="shared" si="13"/>
        <v>0</v>
      </c>
      <c r="AC44" s="183">
        <f t="shared" si="14"/>
        <v>0</v>
      </c>
      <c r="AD44" s="188">
        <f t="shared" si="15"/>
        <v>0.10763888888322981</v>
      </c>
      <c r="AE44" s="188">
        <f t="shared" si="16"/>
        <v>0</v>
      </c>
      <c r="AF44" s="188">
        <f t="shared" si="17"/>
        <v>0.10763888888322981</v>
      </c>
      <c r="AG44" s="188">
        <f t="shared" si="18"/>
        <v>0</v>
      </c>
    </row>
    <row r="45" spans="2:33" ht="15" customHeight="1" x14ac:dyDescent="0.15">
      <c r="B45" s="174" t="s">
        <v>5</v>
      </c>
      <c r="C45" s="175" t="s">
        <v>13</v>
      </c>
      <c r="D45" s="176" t="str">
        <f t="shared" si="0"/>
        <v>C</v>
      </c>
      <c r="E45" s="177" t="d">
        <v>2021-09-03T16:30:00.000</v>
      </c>
      <c r="F45" s="178" t="s">
        <v>80</v>
      </c>
      <c r="G45" s="179">
        <v>15718.91</v>
      </c>
      <c r="H45" s="179">
        <v>15759.25</v>
      </c>
      <c r="I45" s="180">
        <f t="shared" si="1"/>
        <v>40.340000000000146</v>
      </c>
      <c r="J45" s="179">
        <v>15423.09</v>
      </c>
      <c r="K45" s="177" t="d">
        <v>2021-09-03T17:30:59.99999998603016475</v>
      </c>
      <c r="L45" s="179">
        <v>15759.25</v>
      </c>
      <c r="M45" s="181">
        <f t="shared" si="2"/>
        <v>-40.340000000000003</v>
      </c>
      <c r="N45" s="182">
        <f t="shared" si="3"/>
        <v>-1</v>
      </c>
      <c r="O45" s="183">
        <f t="shared" si="4"/>
        <v>0</v>
      </c>
      <c r="P45" s="184">
        <f t="shared" si="5"/>
        <v>0</v>
      </c>
      <c r="Q45" s="184">
        <f t="shared" si="6"/>
        <v>-1</v>
      </c>
      <c r="R45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5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25190</v>
      </c>
      <c r="T45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25707.5</v>
      </c>
      <c r="U45" s="186">
        <f ca="1">IF(Tabla336106734810[[#This Row],[Equity]]&lt;Tabla336106734810[[#This Row],[Equity Peak]],(Tabla336106734810[[#This Row],[Equity Peak]]-Tabla336106734810[[#This Row],[Equity]])/Tabla336106734810[[#This Row],[Equity Peak]],"")</f>
        <v>2.0130312165710394E-2</v>
      </c>
      <c r="V45" s="187">
        <f t="shared" si="7"/>
        <v>0</v>
      </c>
      <c r="W45" s="187">
        <f t="shared" si="8"/>
        <v>0</v>
      </c>
      <c r="X45" s="187">
        <f t="shared" si="9"/>
        <v>0</v>
      </c>
      <c r="Y45" s="187">
        <f t="shared" si="10"/>
        <v>0</v>
      </c>
      <c r="Z45" s="187">
        <f t="shared" si="11"/>
        <v>-1</v>
      </c>
      <c r="AA45" s="183">
        <f t="shared" si="12"/>
        <v>0</v>
      </c>
      <c r="AB45" s="187">
        <f t="shared" si="13"/>
        <v>0</v>
      </c>
      <c r="AC45" s="183">
        <f t="shared" si="14"/>
        <v>0</v>
      </c>
      <c r="AD45" s="188">
        <f t="shared" si="15"/>
        <v>4.2361111110949423E-2</v>
      </c>
      <c r="AE45" s="188">
        <f t="shared" si="16"/>
        <v>0</v>
      </c>
      <c r="AF45" s="188">
        <f t="shared" si="17"/>
        <v>4.2361111110949423E-2</v>
      </c>
      <c r="AG45" s="188">
        <f t="shared" si="18"/>
        <v>0</v>
      </c>
    </row>
    <row r="46" spans="2:33" ht="15" customHeight="1" x14ac:dyDescent="0.15">
      <c r="B46" s="174" t="s">
        <v>5</v>
      </c>
      <c r="C46" s="175" t="s">
        <v>15</v>
      </c>
      <c r="D46" s="176" t="str">
        <f t="shared" si="0"/>
        <v>C</v>
      </c>
      <c r="E46" s="177" t="d">
        <v>2021-08-31T10:15:00.00000020954757600</v>
      </c>
      <c r="F46" s="178" t="s">
        <v>80</v>
      </c>
      <c r="G46" s="179">
        <v>15953.82</v>
      </c>
      <c r="H46" s="179">
        <v>15918.55</v>
      </c>
      <c r="I46" s="180">
        <f t="shared" si="1"/>
        <v>35.270000000000437</v>
      </c>
      <c r="J46" s="179">
        <v>16212.47</v>
      </c>
      <c r="K46" s="177" t="d">
        <v>2021-08-31T13:28:00.00000023748725325</v>
      </c>
      <c r="L46" s="179">
        <v>15942.95</v>
      </c>
      <c r="M46" s="181">
        <f t="shared" si="2"/>
        <v>-10.87</v>
      </c>
      <c r="N46" s="182">
        <f t="shared" si="3"/>
        <v>-0.31</v>
      </c>
      <c r="O46" s="183">
        <f t="shared" si="4"/>
        <v>0</v>
      </c>
      <c r="P46" s="184">
        <f t="shared" si="5"/>
        <v>0</v>
      </c>
      <c r="Q46" s="184">
        <f t="shared" si="6"/>
        <v>-0.31</v>
      </c>
      <c r="R46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6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25440</v>
      </c>
      <c r="T46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25707.5</v>
      </c>
      <c r="U46" s="186">
        <f ca="1">IF(Tabla336106734810[[#This Row],[Equity]]&lt;Tabla336106734810[[#This Row],[Equity Peak]],(Tabla336106734810[[#This Row],[Equity Peak]]-Tabla336106734810[[#This Row],[Equity]])/Tabla336106734810[[#This Row],[Equity Peak]],"")</f>
        <v>1.0405523679859963E-2</v>
      </c>
      <c r="V46" s="187">
        <f t="shared" si="7"/>
        <v>0</v>
      </c>
      <c r="W46" s="187">
        <f t="shared" si="8"/>
        <v>0</v>
      </c>
      <c r="X46" s="187">
        <f t="shared" si="9"/>
        <v>0</v>
      </c>
      <c r="Y46" s="187">
        <f t="shared" si="10"/>
        <v>0</v>
      </c>
      <c r="Z46" s="187">
        <f t="shared" si="11"/>
        <v>-0.31</v>
      </c>
      <c r="AA46" s="183">
        <f t="shared" si="12"/>
        <v>0</v>
      </c>
      <c r="AB46" s="187">
        <f t="shared" si="13"/>
        <v>0</v>
      </c>
      <c r="AC46" s="183">
        <f t="shared" si="14"/>
        <v>0</v>
      </c>
      <c r="AD46" s="188">
        <f t="shared" si="15"/>
        <v>0.13402777777810115</v>
      </c>
      <c r="AE46" s="188">
        <f t="shared" si="16"/>
        <v>0</v>
      </c>
      <c r="AF46" s="188">
        <f t="shared" si="17"/>
        <v>0.13402777777810115</v>
      </c>
      <c r="AG46" s="188">
        <f t="shared" si="18"/>
        <v>0</v>
      </c>
    </row>
    <row r="47" spans="2:33" ht="15" customHeight="1" x14ac:dyDescent="0.15">
      <c r="B47" s="174" t="s">
        <v>5</v>
      </c>
      <c r="C47" s="175" t="s">
        <v>13</v>
      </c>
      <c r="D47" s="176" t="str">
        <f t="shared" si="0"/>
        <v>C</v>
      </c>
      <c r="E47" s="177" t="d">
        <v>2021-08-19T11:15:00.000</v>
      </c>
      <c r="F47" s="178" t="s">
        <v>80</v>
      </c>
      <c r="G47" s="179">
        <v>15712.98</v>
      </c>
      <c r="H47" s="179">
        <v>15764.68</v>
      </c>
      <c r="I47" s="180">
        <f t="shared" si="1"/>
        <v>51.700000000000728</v>
      </c>
      <c r="J47" s="179">
        <v>15333.88</v>
      </c>
      <c r="K47" s="177" t="d">
        <v>2021-08-19T13:08:00.000000097788870375</v>
      </c>
      <c r="L47" s="179">
        <v>15720.82</v>
      </c>
      <c r="M47" s="181">
        <f t="shared" si="2"/>
        <v>-7.84</v>
      </c>
      <c r="N47" s="182">
        <f t="shared" si="3"/>
        <v>-0.15</v>
      </c>
      <c r="O47" s="183">
        <f t="shared" si="4"/>
        <v>0</v>
      </c>
      <c r="P47" s="184">
        <f t="shared" si="5"/>
        <v>0</v>
      </c>
      <c r="Q47" s="184">
        <f t="shared" si="6"/>
        <v>-0.15</v>
      </c>
      <c r="R47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7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25517.5</v>
      </c>
      <c r="T47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25707.5</v>
      </c>
      <c r="U47" s="186">
        <f ca="1">IF(Tabla336106734810[[#This Row],[Equity]]&lt;Tabla336106734810[[#This Row],[Equity Peak]],(Tabla336106734810[[#This Row],[Equity Peak]]-Tabla336106734810[[#This Row],[Equity]])/Tabla336106734810[[#This Row],[Equity Peak]],"")</f>
        <v>7.390839249246329E-3</v>
      </c>
      <c r="V47" s="187">
        <f t="shared" si="7"/>
        <v>0</v>
      </c>
      <c r="W47" s="187">
        <f t="shared" si="8"/>
        <v>0</v>
      </c>
      <c r="X47" s="187">
        <f t="shared" si="9"/>
        <v>0</v>
      </c>
      <c r="Y47" s="187">
        <f t="shared" si="10"/>
        <v>0</v>
      </c>
      <c r="Z47" s="187">
        <f t="shared" si="11"/>
        <v>-0.15</v>
      </c>
      <c r="AA47" s="183">
        <f t="shared" si="12"/>
        <v>0</v>
      </c>
      <c r="AB47" s="187">
        <f t="shared" si="13"/>
        <v>0</v>
      </c>
      <c r="AC47" s="183">
        <f t="shared" si="14"/>
        <v>0</v>
      </c>
      <c r="AD47" s="188">
        <f t="shared" si="15"/>
        <v>7.8472222223354038E-2</v>
      </c>
      <c r="AE47" s="188">
        <f t="shared" si="16"/>
        <v>0</v>
      </c>
      <c r="AF47" s="188">
        <f t="shared" si="17"/>
        <v>7.8472222223354038E-2</v>
      </c>
      <c r="AG47" s="188">
        <f t="shared" si="18"/>
        <v>0</v>
      </c>
    </row>
    <row r="48" spans="2:33" ht="15" customHeight="1" x14ac:dyDescent="0.15">
      <c r="B48" s="174" t="s">
        <v>5</v>
      </c>
      <c r="C48" s="175" t="s">
        <v>15</v>
      </c>
      <c r="D48" s="176" t="str">
        <f t="shared" si="0"/>
        <v>C</v>
      </c>
      <c r="E48" s="177" t="d">
        <v>2021-08-12T15:45:00.000</v>
      </c>
      <c r="F48" s="178" t="s">
        <v>80</v>
      </c>
      <c r="G48" s="179">
        <v>15917.7</v>
      </c>
      <c r="H48" s="179">
        <v>15883.93</v>
      </c>
      <c r="I48" s="180">
        <f t="shared" si="1"/>
        <v>33.770000000000437</v>
      </c>
      <c r="J48" s="179">
        <v>16165.36</v>
      </c>
      <c r="K48" s="177" t="d">
        <v>2021-08-13T17:26:59.99999983236193650</v>
      </c>
      <c r="L48" s="179">
        <v>15966.98</v>
      </c>
      <c r="M48" s="181">
        <f t="shared" si="2"/>
        <v>49.28</v>
      </c>
      <c r="N48" s="182">
        <f t="shared" si="3"/>
        <v>1.46</v>
      </c>
      <c r="O48" s="183">
        <f t="shared" si="4"/>
        <v>0</v>
      </c>
      <c r="P48" s="184">
        <f t="shared" si="5"/>
        <v>1.46</v>
      </c>
      <c r="Q48" s="184">
        <f t="shared" si="6"/>
        <v>0</v>
      </c>
      <c r="R48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8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25555</v>
      </c>
      <c r="T48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25707.5</v>
      </c>
      <c r="U48" s="186">
        <f ca="1">IF(Tabla336106734810[[#This Row],[Equity]]&lt;Tabla336106734810[[#This Row],[Equity Peak]],(Tabla336106734810[[#This Row],[Equity Peak]]-Tabla336106734810[[#This Row],[Equity]])/Tabla336106734810[[#This Row],[Equity Peak]],"")</f>
        <v>5.9321209763687644E-3</v>
      </c>
      <c r="V48" s="187">
        <f t="shared" si="7"/>
        <v>0</v>
      </c>
      <c r="W48" s="187">
        <f t="shared" si="8"/>
        <v>0</v>
      </c>
      <c r="X48" s="187">
        <f t="shared" si="9"/>
        <v>0</v>
      </c>
      <c r="Y48" s="187">
        <f t="shared" si="10"/>
        <v>0</v>
      </c>
      <c r="Z48" s="187">
        <f t="shared" si="11"/>
        <v>1.46</v>
      </c>
      <c r="AA48" s="183">
        <f t="shared" si="12"/>
        <v>0</v>
      </c>
      <c r="AB48" s="187">
        <f t="shared" si="13"/>
        <v>0</v>
      </c>
      <c r="AC48" s="183">
        <f t="shared" si="14"/>
        <v>0</v>
      </c>
      <c r="AD48" s="188">
        <f t="shared" si="15"/>
        <v>1.0708333333313931</v>
      </c>
      <c r="AE48" s="188">
        <f t="shared" si="16"/>
        <v>1.0708333333313931</v>
      </c>
      <c r="AF48" s="188">
        <f t="shared" si="17"/>
        <v>0</v>
      </c>
      <c r="AG48" s="188">
        <f t="shared" si="18"/>
        <v>0</v>
      </c>
    </row>
    <row r="49" spans="2:33" ht="15" customHeight="1" x14ac:dyDescent="0.15">
      <c r="B49" s="174" t="s">
        <v>5</v>
      </c>
      <c r="C49" s="175" t="s">
        <v>15</v>
      </c>
      <c r="D49" s="176" t="str">
        <f t="shared" ref="D49:D80" si="19">IF(E49&lt;&gt;"",IF(K49&lt;&gt;"","C","O"),"")</f>
        <v>C</v>
      </c>
      <c r="E49" s="177" t="d">
        <v>2021-08-11T16:15:00.00000020954757600</v>
      </c>
      <c r="F49" s="178" t="s">
        <v>80</v>
      </c>
      <c r="G49" s="179">
        <v>15874.34</v>
      </c>
      <c r="H49" s="179">
        <v>15841.74</v>
      </c>
      <c r="I49" s="180">
        <f t="shared" ref="I49:I80" si="20">ABS(G49-H49)</f>
        <v>32.600000000000364</v>
      </c>
      <c r="J49" s="179">
        <v>16113.43</v>
      </c>
      <c r="K49" s="177" t="d">
        <v>2021-08-11T16:31:59.99999976251274675</v>
      </c>
      <c r="L49" s="179">
        <v>15841.74</v>
      </c>
      <c r="M49" s="181">
        <f t="shared" ref="M49:M80" si="21">ROUND(IF(C49="L",(L49-G49),(G49-L49)),4)</f>
        <v>-32.6</v>
      </c>
      <c r="N49" s="182">
        <f t="shared" ref="N49:N80" si="22">IFERROR(ROUND((M49/I49),2),"")</f>
        <v>-1</v>
      </c>
      <c r="O49" s="183">
        <f t="shared" ref="O49:O80" si="23">IF(D49="O",IF(N49&lt;0,N49,0),0)</f>
        <v>0</v>
      </c>
      <c r="P49" s="184">
        <f t="shared" ref="P49:P80" si="24">IF(N49&gt;= 0,N49,0)</f>
        <v>0</v>
      </c>
      <c r="Q49" s="184">
        <f t="shared" ref="Q49:Q80" si="25">IF(N49&lt;0,N49,0)</f>
        <v>-1</v>
      </c>
      <c r="R49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49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25190</v>
      </c>
      <c r="T49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25707.5</v>
      </c>
      <c r="U49" s="186">
        <f ca="1">IF(Tabla336106734810[[#This Row],[Equity]]&lt;Tabla336106734810[[#This Row],[Equity Peak]],(Tabla336106734810[[#This Row],[Equity Peak]]-Tabla336106734810[[#This Row],[Equity]])/Tabla336106734810[[#This Row],[Equity Peak]],"")</f>
        <v>2.0130312165710394E-2</v>
      </c>
      <c r="V49" s="187">
        <f t="shared" ref="V49:V80" si="26">IF(B49="FX",N49,0)</f>
        <v>0</v>
      </c>
      <c r="W49" s="187">
        <f t="shared" ref="W49:W80" si="27">IF(D49="O",IF(V49&lt;0,V49,0),0)</f>
        <v>0</v>
      </c>
      <c r="X49" s="187">
        <f t="shared" ref="X49:X80" si="28">IF(B49="COM",N49,0)</f>
        <v>0</v>
      </c>
      <c r="Y49" s="187">
        <f t="shared" ref="Y49:Y80" si="29">IF(D49="O",IF(X49&lt;0,X49,0),0)</f>
        <v>0</v>
      </c>
      <c r="Z49" s="187">
        <f t="shared" ref="Z49:Z80" si="30">IF(B49="IND",N49,0)</f>
        <v>-1</v>
      </c>
      <c r="AA49" s="183">
        <f t="shared" ref="AA49:AA80" si="31">IF(D49="O",IF(Z49&lt;0,Z49,0),0)</f>
        <v>0</v>
      </c>
      <c r="AB49" s="187">
        <f t="shared" ref="AB49:AB80" si="32">IF(B49="CRYPTO",N49,0)</f>
        <v>0</v>
      </c>
      <c r="AC49" s="183">
        <f t="shared" ref="AC49:AC80" si="33">IF(D49="O",IF(AB49&lt;0,AB49,0),0)</f>
        <v>0</v>
      </c>
      <c r="AD49" s="188">
        <f t="shared" ref="AD49:AD80" si="34">IF(K49&lt;&gt;"",K49-E49,0)</f>
        <v>1.1805555550381541E-2</v>
      </c>
      <c r="AE49" s="188">
        <f t="shared" ref="AE49:AE80" si="35">IF(N49&gt;0,AD49,0)</f>
        <v>0</v>
      </c>
      <c r="AF49" s="188">
        <f t="shared" ref="AF49:AF80" si="36">IF(N49&lt;0,AD49,0)</f>
        <v>1.1805555550381541E-2</v>
      </c>
      <c r="AG49" s="188">
        <f t="shared" ref="AG49:AG80" si="37">IF(N49=0,AD49,0)</f>
        <v>0</v>
      </c>
    </row>
    <row r="50" spans="2:33" ht="15" customHeight="1" x14ac:dyDescent="0.15">
      <c r="B50" s="174" t="s">
        <v>5</v>
      </c>
      <c r="C50" s="175" t="s">
        <v>15</v>
      </c>
      <c r="D50" s="176" t="str">
        <f t="shared" si="19"/>
        <v>C</v>
      </c>
      <c r="E50" s="177" t="d">
        <v>2021-08-05T16:44:59.99999979045242400</v>
      </c>
      <c r="F50" s="178" t="s">
        <v>80</v>
      </c>
      <c r="G50" s="179">
        <v>15743.71</v>
      </c>
      <c r="H50" s="179">
        <v>15702.6</v>
      </c>
      <c r="I50" s="180">
        <f t="shared" si="20"/>
        <v>41.109999999998763</v>
      </c>
      <c r="J50" s="179">
        <v>16045.18</v>
      </c>
      <c r="K50" s="177" t="d">
        <v>2021-08-09T03:14:59.99999979045242400</v>
      </c>
      <c r="L50" s="179">
        <v>15740.86</v>
      </c>
      <c r="M50" s="181">
        <f t="shared" si="21"/>
        <v>-2.85</v>
      </c>
      <c r="N50" s="182">
        <f t="shared" si="22"/>
        <v>-7.0000000000000007E-2</v>
      </c>
      <c r="O50" s="183">
        <f t="shared" si="23"/>
        <v>0</v>
      </c>
      <c r="P50" s="184">
        <f t="shared" si="24"/>
        <v>0</v>
      </c>
      <c r="Q50" s="184">
        <f t="shared" si="25"/>
        <v>-7.0000000000000007E-2</v>
      </c>
      <c r="R50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0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25440</v>
      </c>
      <c r="T50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25707.5</v>
      </c>
      <c r="U50" s="186">
        <f ca="1">IF(Tabla336106734810[[#This Row],[Equity]]&lt;Tabla336106734810[[#This Row],[Equity Peak]],(Tabla336106734810[[#This Row],[Equity Peak]]-Tabla336106734810[[#This Row],[Equity]])/Tabla336106734810[[#This Row],[Equity Peak]],"")</f>
        <v>1.0405523679859963E-2</v>
      </c>
      <c r="V50" s="187">
        <f t="shared" si="26"/>
        <v>0</v>
      </c>
      <c r="W50" s="187">
        <f t="shared" si="27"/>
        <v>0</v>
      </c>
      <c r="X50" s="187">
        <f t="shared" si="28"/>
        <v>0</v>
      </c>
      <c r="Y50" s="187">
        <f t="shared" si="29"/>
        <v>0</v>
      </c>
      <c r="Z50" s="187">
        <f t="shared" si="30"/>
        <v>-7.0000000000000007E-2</v>
      </c>
      <c r="AA50" s="183">
        <f t="shared" si="31"/>
        <v>0</v>
      </c>
      <c r="AB50" s="187">
        <f t="shared" si="32"/>
        <v>0</v>
      </c>
      <c r="AC50" s="183">
        <f t="shared" si="33"/>
        <v>0</v>
      </c>
      <c r="AD50" s="188">
        <f t="shared" si="34"/>
        <v>3.4375</v>
      </c>
      <c r="AE50" s="188">
        <f t="shared" si="35"/>
        <v>0</v>
      </c>
      <c r="AF50" s="188">
        <f t="shared" si="36"/>
        <v>3.4375</v>
      </c>
      <c r="AG50" s="188">
        <f t="shared" si="37"/>
        <v>0</v>
      </c>
    </row>
    <row r="51" spans="2:33" ht="15" customHeight="1" x14ac:dyDescent="0.15">
      <c r="B51" s="174" t="s">
        <v>5</v>
      </c>
      <c r="C51" s="175" t="s">
        <v>15</v>
      </c>
      <c r="D51" s="176" t="str">
        <f t="shared" si="19"/>
        <v>C</v>
      </c>
      <c r="E51" s="177" t="d">
        <v>2021-08-02T10:15:00.00000020954757600</v>
      </c>
      <c r="F51" s="178" t="s">
        <v>80</v>
      </c>
      <c r="G51" s="179">
        <v>15694.77</v>
      </c>
      <c r="H51" s="179">
        <v>15642.3</v>
      </c>
      <c r="I51" s="180">
        <f t="shared" si="20"/>
        <v>52.470000000001164</v>
      </c>
      <c r="J51" s="179">
        <v>16079.57</v>
      </c>
      <c r="K51" s="177" t="d">
        <v>2021-08-02T10:48:59.99999994412064550</v>
      </c>
      <c r="L51" s="179">
        <v>15642.3</v>
      </c>
      <c r="M51" s="181">
        <f t="shared" si="21"/>
        <v>-52.47</v>
      </c>
      <c r="N51" s="182">
        <f t="shared" si="22"/>
        <v>-1</v>
      </c>
      <c r="O51" s="183">
        <f t="shared" si="23"/>
        <v>0</v>
      </c>
      <c r="P51" s="184">
        <f t="shared" si="24"/>
        <v>0</v>
      </c>
      <c r="Q51" s="184">
        <f t="shared" si="25"/>
        <v>-1</v>
      </c>
      <c r="R51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1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25457.5</v>
      </c>
      <c r="T51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25707.5</v>
      </c>
      <c r="U51" s="186">
        <f ca="1">IF(Tabla336106734810[[#This Row],[Equity]]&lt;Tabla336106734810[[#This Row],[Equity Peak]],(Tabla336106734810[[#This Row],[Equity Peak]]-Tabla336106734810[[#This Row],[Equity]])/Tabla336106734810[[#This Row],[Equity Peak]],"")</f>
        <v>9.7247884858504326E-3</v>
      </c>
      <c r="V51" s="187">
        <f t="shared" si="26"/>
        <v>0</v>
      </c>
      <c r="W51" s="187">
        <f t="shared" si="27"/>
        <v>0</v>
      </c>
      <c r="X51" s="187">
        <f t="shared" si="28"/>
        <v>0</v>
      </c>
      <c r="Y51" s="187">
        <f t="shared" si="29"/>
        <v>0</v>
      </c>
      <c r="Z51" s="187">
        <f t="shared" si="30"/>
        <v>-1</v>
      </c>
      <c r="AA51" s="183">
        <f t="shared" si="31"/>
        <v>0</v>
      </c>
      <c r="AB51" s="187">
        <f t="shared" si="32"/>
        <v>0</v>
      </c>
      <c r="AC51" s="183">
        <f t="shared" si="33"/>
        <v>0</v>
      </c>
      <c r="AD51" s="188">
        <f t="shared" si="34"/>
        <v>2.361111110803904E-2</v>
      </c>
      <c r="AE51" s="188">
        <f t="shared" si="35"/>
        <v>0</v>
      </c>
      <c r="AF51" s="188">
        <f t="shared" si="36"/>
        <v>2.361111110803904E-2</v>
      </c>
      <c r="AG51" s="188">
        <f t="shared" si="37"/>
        <v>0</v>
      </c>
    </row>
    <row r="52" spans="2:33" ht="15" customHeight="1" x14ac:dyDescent="0.15">
      <c r="B52" s="174" t="s">
        <v>5</v>
      </c>
      <c r="C52" s="175" t="s">
        <v>15</v>
      </c>
      <c r="D52" s="176" t="str">
        <f t="shared" si="19"/>
        <v>C</v>
      </c>
      <c r="E52" s="177" t="d">
        <v>2021-07-23T09:59:59.99999979045242400</v>
      </c>
      <c r="F52" s="178" t="s">
        <v>80</v>
      </c>
      <c r="G52" s="179">
        <v>15585.07</v>
      </c>
      <c r="H52" s="179">
        <v>15535.92</v>
      </c>
      <c r="I52" s="180">
        <f t="shared" si="20"/>
        <v>49.149999999999636</v>
      </c>
      <c r="J52" s="179">
        <v>15945.51</v>
      </c>
      <c r="K52" s="177" t="d">
        <v>2021-07-26T03:23:00.000000097788870375</v>
      </c>
      <c r="L52" s="179">
        <v>15614.64</v>
      </c>
      <c r="M52" s="181">
        <f t="shared" si="21"/>
        <v>29.57</v>
      </c>
      <c r="N52" s="182">
        <f t="shared" si="22"/>
        <v>0.6</v>
      </c>
      <c r="O52" s="183">
        <f t="shared" si="23"/>
        <v>0</v>
      </c>
      <c r="P52" s="184">
        <f t="shared" si="24"/>
        <v>0.6</v>
      </c>
      <c r="Q52" s="184">
        <f t="shared" si="25"/>
        <v>0</v>
      </c>
      <c r="R52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2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25707.5</v>
      </c>
      <c r="T52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25707.5</v>
      </c>
      <c r="U52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52" s="187">
        <f t="shared" si="26"/>
        <v>0</v>
      </c>
      <c r="W52" s="187">
        <f t="shared" si="27"/>
        <v>0</v>
      </c>
      <c r="X52" s="187">
        <f t="shared" si="28"/>
        <v>0</v>
      </c>
      <c r="Y52" s="187">
        <f t="shared" si="29"/>
        <v>0</v>
      </c>
      <c r="Z52" s="187">
        <f t="shared" si="30"/>
        <v>0.6</v>
      </c>
      <c r="AA52" s="183">
        <f t="shared" si="31"/>
        <v>0</v>
      </c>
      <c r="AB52" s="187">
        <f t="shared" si="32"/>
        <v>0</v>
      </c>
      <c r="AC52" s="183">
        <f t="shared" si="33"/>
        <v>0</v>
      </c>
      <c r="AD52" s="188">
        <f t="shared" si="34"/>
        <v>2.7243055555591127</v>
      </c>
      <c r="AE52" s="188">
        <f t="shared" si="35"/>
        <v>2.7243055555591127</v>
      </c>
      <c r="AF52" s="188">
        <f t="shared" si="36"/>
        <v>0</v>
      </c>
      <c r="AG52" s="188">
        <f t="shared" si="37"/>
        <v>0</v>
      </c>
    </row>
    <row r="53" spans="2:33" ht="15" customHeight="1" x14ac:dyDescent="0.15">
      <c r="B53" s="174" t="s">
        <v>5</v>
      </c>
      <c r="C53" s="175" t="s">
        <v>13</v>
      </c>
      <c r="D53" s="176" t="str">
        <f t="shared" si="19"/>
        <v>C</v>
      </c>
      <c r="E53" s="177" t="d">
        <v>2021-07-16T17:00:00.00000020954757600</v>
      </c>
      <c r="F53" s="178" t="s">
        <v>80</v>
      </c>
      <c r="G53" s="179">
        <v>15566.62</v>
      </c>
      <c r="H53" s="179">
        <v>15626.72</v>
      </c>
      <c r="I53" s="180">
        <f t="shared" si="20"/>
        <v>60.099999999998545</v>
      </c>
      <c r="J53" s="179">
        <v>15125.9</v>
      </c>
      <c r="K53" s="177" t="d">
        <v>2021-07-19T14:39:00.00000029336660775</v>
      </c>
      <c r="L53" s="179">
        <v>15125.9</v>
      </c>
      <c r="M53" s="181">
        <f t="shared" si="21"/>
        <v>440.72</v>
      </c>
      <c r="N53" s="182">
        <f t="shared" si="22"/>
        <v>7.33</v>
      </c>
      <c r="O53" s="183">
        <f t="shared" si="23"/>
        <v>0</v>
      </c>
      <c r="P53" s="184">
        <f t="shared" si="24"/>
        <v>7.33</v>
      </c>
      <c r="Q53" s="184">
        <f t="shared" si="25"/>
        <v>0</v>
      </c>
      <c r="R53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3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25557.5</v>
      </c>
      <c r="T53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25557.5</v>
      </c>
      <c r="U53" s="186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53" s="187">
        <f t="shared" si="26"/>
        <v>0</v>
      </c>
      <c r="W53" s="187">
        <f t="shared" si="27"/>
        <v>0</v>
      </c>
      <c r="X53" s="187">
        <f t="shared" si="28"/>
        <v>0</v>
      </c>
      <c r="Y53" s="187">
        <f t="shared" si="29"/>
        <v>0</v>
      </c>
      <c r="Z53" s="187">
        <f t="shared" si="30"/>
        <v>7.33</v>
      </c>
      <c r="AA53" s="183">
        <f t="shared" si="31"/>
        <v>0</v>
      </c>
      <c r="AB53" s="187">
        <f t="shared" si="32"/>
        <v>0</v>
      </c>
      <c r="AC53" s="183">
        <f t="shared" si="33"/>
        <v>0</v>
      </c>
      <c r="AD53" s="188">
        <f t="shared" si="34"/>
        <v>2.9020833333343035</v>
      </c>
      <c r="AE53" s="188">
        <f t="shared" si="35"/>
        <v>2.9020833333343035</v>
      </c>
      <c r="AF53" s="188">
        <f t="shared" si="36"/>
        <v>0</v>
      </c>
      <c r="AG53" s="188">
        <f t="shared" si="37"/>
        <v>0</v>
      </c>
    </row>
    <row r="54" spans="2:33" ht="15" customHeight="1" x14ac:dyDescent="0.15">
      <c r="B54" s="174" t="s">
        <v>5</v>
      </c>
      <c r="C54" s="175" t="s">
        <v>15</v>
      </c>
      <c r="D54" s="176" t="str">
        <f t="shared" si="19"/>
        <v>C</v>
      </c>
      <c r="E54" s="177" t="d">
        <v>2021-07-12T16:44:59.99999979045242400</v>
      </c>
      <c r="F54" s="178" t="s">
        <v>80</v>
      </c>
      <c r="G54" s="179">
        <v>15746.66</v>
      </c>
      <c r="H54" s="179">
        <v>15688.14</v>
      </c>
      <c r="I54" s="180">
        <f t="shared" si="20"/>
        <v>58.520000000000437</v>
      </c>
      <c r="J54" s="179">
        <v>16175.84</v>
      </c>
      <c r="K54" s="177" t="d">
        <v>2021-07-14T09:08:59.99999987427145575</v>
      </c>
      <c r="L54" s="179">
        <v>15735.51</v>
      </c>
      <c r="M54" s="181">
        <f t="shared" si="21"/>
        <v>-11.15</v>
      </c>
      <c r="N54" s="182">
        <f t="shared" si="22"/>
        <v>-0.19</v>
      </c>
      <c r="O54" s="183">
        <f t="shared" si="23"/>
        <v>0</v>
      </c>
      <c r="P54" s="184">
        <f t="shared" si="24"/>
        <v>0</v>
      </c>
      <c r="Q54" s="184">
        <f t="shared" si="25"/>
        <v>-0.19</v>
      </c>
      <c r="R54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4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23725</v>
      </c>
      <c r="T54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54" s="186">
        <f ca="1">IF(Tabla336106734810[[#This Row],[Equity]]&lt;Tabla336106734810[[#This Row],[Equity Peak]],(Tabla336106734810[[#This Row],[Equity Peak]]-Tabla336106734810[[#This Row],[Equity]])/Tabla336106734810[[#This Row],[Equity Peak]],"")</f>
        <v>5.0999999999999997E-2</v>
      </c>
      <c r="V54" s="187">
        <f t="shared" si="26"/>
        <v>0</v>
      </c>
      <c r="W54" s="187">
        <f t="shared" si="27"/>
        <v>0</v>
      </c>
      <c r="X54" s="187">
        <f t="shared" si="28"/>
        <v>0</v>
      </c>
      <c r="Y54" s="187">
        <f t="shared" si="29"/>
        <v>0</v>
      </c>
      <c r="Z54" s="187">
        <f t="shared" si="30"/>
        <v>-0.19</v>
      </c>
      <c r="AA54" s="183">
        <f t="shared" si="31"/>
        <v>0</v>
      </c>
      <c r="AB54" s="187">
        <f t="shared" si="32"/>
        <v>0</v>
      </c>
      <c r="AC54" s="183">
        <f t="shared" si="33"/>
        <v>0</v>
      </c>
      <c r="AD54" s="188">
        <f t="shared" si="34"/>
        <v>1.6833333333343035</v>
      </c>
      <c r="AE54" s="188">
        <f t="shared" si="35"/>
        <v>0</v>
      </c>
      <c r="AF54" s="188">
        <f t="shared" si="36"/>
        <v>1.6833333333343035</v>
      </c>
      <c r="AG54" s="188">
        <f t="shared" si="37"/>
        <v>0</v>
      </c>
    </row>
    <row r="55" spans="2:33" ht="15" customHeight="1" x14ac:dyDescent="0.15">
      <c r="B55" s="174" t="s">
        <v>5</v>
      </c>
      <c r="C55" s="175" t="s">
        <v>15</v>
      </c>
      <c r="D55" s="176" t="str">
        <f t="shared" si="19"/>
        <v>C</v>
      </c>
      <c r="E55" s="177" t="d">
        <v>2021-07-12T10:15:00.00000020954757600</v>
      </c>
      <c r="F55" s="178" t="s">
        <v>80</v>
      </c>
      <c r="G55" s="179">
        <v>15734.66</v>
      </c>
      <c r="H55" s="179">
        <v>15666.93</v>
      </c>
      <c r="I55" s="180">
        <f t="shared" si="20"/>
        <v>67.729999999999563</v>
      </c>
      <c r="J55" s="179">
        <v>16231.38</v>
      </c>
      <c r="K55" s="177" t="d">
        <v>2021-07-12T10:34:00.00000015366822150</v>
      </c>
      <c r="L55" s="179">
        <v>15666.93</v>
      </c>
      <c r="M55" s="181">
        <f t="shared" si="21"/>
        <v>-67.73</v>
      </c>
      <c r="N55" s="182">
        <f t="shared" si="22"/>
        <v>-1</v>
      </c>
      <c r="O55" s="183">
        <f t="shared" si="23"/>
        <v>0</v>
      </c>
      <c r="P55" s="184">
        <f t="shared" si="24"/>
        <v>0</v>
      </c>
      <c r="Q55" s="184">
        <f t="shared" si="25"/>
        <v>-1</v>
      </c>
      <c r="R55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5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23772.5</v>
      </c>
      <c r="T55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55" s="186">
        <f ca="1">IF(Tabla336106734810[[#This Row],[Equity]]&lt;Tabla336106734810[[#This Row],[Equity Peak]],(Tabla336106734810[[#This Row],[Equity Peak]]-Tabla336106734810[[#This Row],[Equity]])/Tabla336106734810[[#This Row],[Equity Peak]],"")</f>
        <v>4.9099999999999998E-2</v>
      </c>
      <c r="V55" s="187">
        <f t="shared" si="26"/>
        <v>0</v>
      </c>
      <c r="W55" s="187">
        <f t="shared" si="27"/>
        <v>0</v>
      </c>
      <c r="X55" s="187">
        <f t="shared" si="28"/>
        <v>0</v>
      </c>
      <c r="Y55" s="187">
        <f t="shared" si="29"/>
        <v>0</v>
      </c>
      <c r="Z55" s="187">
        <f t="shared" si="30"/>
        <v>-1</v>
      </c>
      <c r="AA55" s="183">
        <f t="shared" si="31"/>
        <v>0</v>
      </c>
      <c r="AB55" s="187">
        <f t="shared" si="32"/>
        <v>0</v>
      </c>
      <c r="AC55" s="183">
        <f t="shared" si="33"/>
        <v>0</v>
      </c>
      <c r="AD55" s="188">
        <f t="shared" si="34"/>
        <v>1.3194444443797693E-2</v>
      </c>
      <c r="AE55" s="188">
        <f t="shared" si="35"/>
        <v>0</v>
      </c>
      <c r="AF55" s="188">
        <f t="shared" si="36"/>
        <v>1.3194444443797693E-2</v>
      </c>
      <c r="AG55" s="188">
        <f t="shared" si="37"/>
        <v>0</v>
      </c>
    </row>
    <row r="56" spans="2:33" ht="15" customHeight="1" x14ac:dyDescent="0.15">
      <c r="B56" s="174" t="s">
        <v>5</v>
      </c>
      <c r="C56" s="175" t="s">
        <v>13</v>
      </c>
      <c r="D56" s="176" t="str">
        <f t="shared" si="19"/>
        <v>C</v>
      </c>
      <c r="E56" s="177" t="d">
        <v>2021-07-08T13:15:00.00000020954757600</v>
      </c>
      <c r="F56" s="178" t="s">
        <v>80</v>
      </c>
      <c r="G56" s="179">
        <v>15440.75</v>
      </c>
      <c r="H56" s="179">
        <v>15502.89</v>
      </c>
      <c r="I56" s="180">
        <f t="shared" si="20"/>
        <v>62.139999999999418</v>
      </c>
      <c r="J56" s="179">
        <v>14985.03</v>
      </c>
      <c r="K56" s="177" t="d">
        <v>2021-07-08T18:39:00.00000008381903175</v>
      </c>
      <c r="L56" s="179">
        <v>15436.63</v>
      </c>
      <c r="M56" s="181">
        <f t="shared" si="21"/>
        <v>4.12</v>
      </c>
      <c r="N56" s="182">
        <f t="shared" si="22"/>
        <v>7.0000000000000007E-2</v>
      </c>
      <c r="O56" s="183">
        <f t="shared" si="23"/>
        <v>0</v>
      </c>
      <c r="P56" s="184">
        <f t="shared" si="24"/>
        <v>7.0000000000000007E-2</v>
      </c>
      <c r="Q56" s="184">
        <f t="shared" si="25"/>
        <v>0</v>
      </c>
      <c r="R56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6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24022.5</v>
      </c>
      <c r="T56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56" s="186">
        <f ca="1">IF(Tabla336106734810[[#This Row],[Equity]]&lt;Tabla336106734810[[#This Row],[Equity Peak]],(Tabla336106734810[[#This Row],[Equity Peak]]-Tabla336106734810[[#This Row],[Equity]])/Tabla336106734810[[#This Row],[Equity Peak]],"")</f>
        <v>3.9100000000000003E-2</v>
      </c>
      <c r="V56" s="187">
        <f t="shared" si="26"/>
        <v>0</v>
      </c>
      <c r="W56" s="187">
        <f t="shared" si="27"/>
        <v>0</v>
      </c>
      <c r="X56" s="187">
        <f t="shared" si="28"/>
        <v>0</v>
      </c>
      <c r="Y56" s="187">
        <f t="shared" si="29"/>
        <v>0</v>
      </c>
      <c r="Z56" s="187">
        <f t="shared" si="30"/>
        <v>7.0000000000000007E-2</v>
      </c>
      <c r="AA56" s="183">
        <f t="shared" si="31"/>
        <v>0</v>
      </c>
      <c r="AB56" s="187">
        <f t="shared" si="32"/>
        <v>0</v>
      </c>
      <c r="AC56" s="183">
        <f t="shared" si="33"/>
        <v>0</v>
      </c>
      <c r="AD56" s="188">
        <f t="shared" si="34"/>
        <v>0.22499999999854481</v>
      </c>
      <c r="AE56" s="188">
        <f t="shared" si="35"/>
        <v>0.22499999999854481</v>
      </c>
      <c r="AF56" s="188">
        <f t="shared" si="36"/>
        <v>0</v>
      </c>
      <c r="AG56" s="188">
        <f t="shared" si="37"/>
        <v>0</v>
      </c>
    </row>
    <row r="57" spans="2:33" ht="15" customHeight="1" x14ac:dyDescent="0.15">
      <c r="B57" s="174" t="s">
        <v>5</v>
      </c>
      <c r="C57" s="175" t="s">
        <v>15</v>
      </c>
      <c r="D57" s="176" t="str">
        <f t="shared" si="19"/>
        <v>C</v>
      </c>
      <c r="E57" s="177" t="d">
        <v>2021-07-07T22:15:00.00000020954757600</v>
      </c>
      <c r="F57" s="178" t="s">
        <v>80</v>
      </c>
      <c r="G57" s="179">
        <v>15712.88</v>
      </c>
      <c r="H57" s="179">
        <v>15652.8</v>
      </c>
      <c r="I57" s="180">
        <f t="shared" si="20"/>
        <v>60.079999999999927</v>
      </c>
      <c r="J57" s="179">
        <v>16153.5</v>
      </c>
      <c r="K57" s="177" t="d">
        <v>2021-07-08T05:39:00.00000029336660775</v>
      </c>
      <c r="L57" s="179">
        <v>15652.8</v>
      </c>
      <c r="M57" s="181">
        <f t="shared" si="21"/>
        <v>-60.08</v>
      </c>
      <c r="N57" s="182">
        <f t="shared" si="22"/>
        <v>-1</v>
      </c>
      <c r="O57" s="183">
        <f t="shared" si="23"/>
        <v>0</v>
      </c>
      <c r="P57" s="184">
        <f t="shared" si="24"/>
        <v>0</v>
      </c>
      <c r="Q57" s="184">
        <f t="shared" si="25"/>
        <v>-1</v>
      </c>
      <c r="R57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7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24005</v>
      </c>
      <c r="T57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57" s="186">
        <f ca="1">IF(Tabla336106734810[[#This Row],[Equity]]&lt;Tabla336106734810[[#This Row],[Equity Peak]],(Tabla336106734810[[#This Row],[Equity Peak]]-Tabla336106734810[[#This Row],[Equity]])/Tabla336106734810[[#This Row],[Equity Peak]],"")</f>
        <v>3.9800000000000002E-2</v>
      </c>
      <c r="V57" s="187">
        <f t="shared" si="26"/>
        <v>0</v>
      </c>
      <c r="W57" s="187">
        <f t="shared" si="27"/>
        <v>0</v>
      </c>
      <c r="X57" s="187">
        <f t="shared" si="28"/>
        <v>0</v>
      </c>
      <c r="Y57" s="187">
        <f t="shared" si="29"/>
        <v>0</v>
      </c>
      <c r="Z57" s="187">
        <f t="shared" si="30"/>
        <v>-1</v>
      </c>
      <c r="AA57" s="183">
        <f t="shared" si="31"/>
        <v>0</v>
      </c>
      <c r="AB57" s="187">
        <f t="shared" si="32"/>
        <v>0</v>
      </c>
      <c r="AC57" s="183">
        <f t="shared" si="33"/>
        <v>0</v>
      </c>
      <c r="AD57" s="188">
        <f t="shared" si="34"/>
        <v>0.30833333333430346</v>
      </c>
      <c r="AE57" s="188">
        <f t="shared" si="35"/>
        <v>0</v>
      </c>
      <c r="AF57" s="188">
        <f t="shared" si="36"/>
        <v>0.30833333333430346</v>
      </c>
      <c r="AG57" s="188">
        <f t="shared" si="37"/>
        <v>0</v>
      </c>
    </row>
    <row r="58" spans="2:33" ht="15" customHeight="1" x14ac:dyDescent="0.15">
      <c r="B58" s="174" t="s">
        <v>5</v>
      </c>
      <c r="C58" s="175" t="s">
        <v>13</v>
      </c>
      <c r="D58" s="176" t="str">
        <f t="shared" si="19"/>
        <v>C</v>
      </c>
      <c r="E58" s="177" t="d">
        <v>2021-06-30T12:14:59.99999979045242400</v>
      </c>
      <c r="F58" s="178" t="s">
        <v>80</v>
      </c>
      <c r="G58" s="179">
        <v>15474.91</v>
      </c>
      <c r="H58" s="179">
        <v>15521.38</v>
      </c>
      <c r="I58" s="180">
        <f t="shared" si="20"/>
        <v>46.469999999999345</v>
      </c>
      <c r="J58" s="179">
        <v>15134.14</v>
      </c>
      <c r="K58" s="177" t="d">
        <v>2021-06-30T13:00:59.99999998603016475</v>
      </c>
      <c r="L58" s="179">
        <v>15521.38</v>
      </c>
      <c r="M58" s="181">
        <f t="shared" si="21"/>
        <v>-46.47</v>
      </c>
      <c r="N58" s="182">
        <f t="shared" si="22"/>
        <v>-1</v>
      </c>
      <c r="O58" s="183">
        <f t="shared" si="23"/>
        <v>0</v>
      </c>
      <c r="P58" s="184">
        <f t="shared" si="24"/>
        <v>0</v>
      </c>
      <c r="Q58" s="184">
        <f t="shared" si="25"/>
        <v>-1</v>
      </c>
      <c r="R58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8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24255</v>
      </c>
      <c r="T58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58" s="186">
        <f ca="1">IF(Tabla336106734810[[#This Row],[Equity]]&lt;Tabla336106734810[[#This Row],[Equity Peak]],(Tabla336106734810[[#This Row],[Equity Peak]]-Tabla336106734810[[#This Row],[Equity]])/Tabla336106734810[[#This Row],[Equity Peak]],"")</f>
        <v>2.98E-2</v>
      </c>
      <c r="V58" s="187">
        <f t="shared" si="26"/>
        <v>0</v>
      </c>
      <c r="W58" s="187">
        <f t="shared" si="27"/>
        <v>0</v>
      </c>
      <c r="X58" s="187">
        <f t="shared" si="28"/>
        <v>0</v>
      </c>
      <c r="Y58" s="187">
        <f t="shared" si="29"/>
        <v>0</v>
      </c>
      <c r="Z58" s="187">
        <f t="shared" si="30"/>
        <v>-1</v>
      </c>
      <c r="AA58" s="183">
        <f t="shared" si="31"/>
        <v>0</v>
      </c>
      <c r="AB58" s="187">
        <f t="shared" si="32"/>
        <v>0</v>
      </c>
      <c r="AC58" s="183">
        <f t="shared" si="33"/>
        <v>0</v>
      </c>
      <c r="AD58" s="188">
        <f t="shared" si="34"/>
        <v>3.1944444446708076E-2</v>
      </c>
      <c r="AE58" s="188">
        <f t="shared" si="35"/>
        <v>0</v>
      </c>
      <c r="AF58" s="188">
        <f t="shared" si="36"/>
        <v>3.1944444446708076E-2</v>
      </c>
      <c r="AG58" s="188">
        <f t="shared" si="37"/>
        <v>0</v>
      </c>
    </row>
    <row r="59" spans="2:33" ht="15" customHeight="1" x14ac:dyDescent="0.15">
      <c r="B59" s="174" t="s">
        <v>5</v>
      </c>
      <c r="C59" s="175" t="s">
        <v>15</v>
      </c>
      <c r="D59" s="176" t="str">
        <f t="shared" si="19"/>
        <v>C</v>
      </c>
      <c r="E59" s="177" t="d">
        <v>2021-06-29T12:59:59.99999979045242400</v>
      </c>
      <c r="F59" s="178" t="s">
        <v>80</v>
      </c>
      <c r="G59" s="179">
        <v>15695</v>
      </c>
      <c r="H59" s="179">
        <v>15651.63</v>
      </c>
      <c r="I59" s="180">
        <f t="shared" si="20"/>
        <v>43.3700000000008</v>
      </c>
      <c r="J59" s="179">
        <v>16013.06</v>
      </c>
      <c r="K59" s="177" t="d">
        <v>2021-06-29T21:45:00.000</v>
      </c>
      <c r="L59" s="179">
        <v>15675.62</v>
      </c>
      <c r="M59" s="181">
        <f t="shared" si="21"/>
        <v>-19.38</v>
      </c>
      <c r="N59" s="182">
        <f t="shared" si="22"/>
        <v>-0.45</v>
      </c>
      <c r="O59" s="183">
        <f t="shared" si="23"/>
        <v>0</v>
      </c>
      <c r="P59" s="184">
        <f t="shared" si="24"/>
        <v>0</v>
      </c>
      <c r="Q59" s="184">
        <f t="shared" si="25"/>
        <v>-0.45</v>
      </c>
      <c r="R59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59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24505</v>
      </c>
      <c r="T59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59" s="186">
        <f ca="1">IF(Tabla336106734810[[#This Row],[Equity]]&lt;Tabla336106734810[[#This Row],[Equity Peak]],(Tabla336106734810[[#This Row],[Equity Peak]]-Tabla336106734810[[#This Row],[Equity]])/Tabla336106734810[[#This Row],[Equity Peak]],"")</f>
        <v>1.9800000000000002E-2</v>
      </c>
      <c r="V59" s="187">
        <f t="shared" si="26"/>
        <v>0</v>
      </c>
      <c r="W59" s="187">
        <f t="shared" si="27"/>
        <v>0</v>
      </c>
      <c r="X59" s="187">
        <f t="shared" si="28"/>
        <v>0</v>
      </c>
      <c r="Y59" s="187">
        <f t="shared" si="29"/>
        <v>0</v>
      </c>
      <c r="Z59" s="187">
        <f t="shared" si="30"/>
        <v>-0.45</v>
      </c>
      <c r="AA59" s="183">
        <f t="shared" si="31"/>
        <v>0</v>
      </c>
      <c r="AB59" s="187">
        <f t="shared" si="32"/>
        <v>0</v>
      </c>
      <c r="AC59" s="183">
        <f t="shared" si="33"/>
        <v>0</v>
      </c>
      <c r="AD59" s="188">
        <f t="shared" si="34"/>
        <v>0.36458333333575865</v>
      </c>
      <c r="AE59" s="188">
        <f t="shared" si="35"/>
        <v>0</v>
      </c>
      <c r="AF59" s="188">
        <f t="shared" si="36"/>
        <v>0.36458333333575865</v>
      </c>
      <c r="AG59" s="188">
        <f t="shared" si="37"/>
        <v>0</v>
      </c>
    </row>
    <row r="60" spans="2:33" ht="15" customHeight="1" x14ac:dyDescent="0.15">
      <c r="B60" s="174" t="s">
        <v>5</v>
      </c>
      <c r="C60" s="175" t="s">
        <v>13</v>
      </c>
      <c r="D60" s="176" t="str">
        <f t="shared" si="19"/>
        <v>C</v>
      </c>
      <c r="E60" s="177" t="d">
        <v>2021-06-18T14:45:00.00000020954757600</v>
      </c>
      <c r="F60" s="178" t="s">
        <v>80</v>
      </c>
      <c r="G60" s="179">
        <v>15567.16</v>
      </c>
      <c r="H60" s="179">
        <v>15620.4</v>
      </c>
      <c r="I60" s="180">
        <f t="shared" si="20"/>
        <v>53.239999999999782</v>
      </c>
      <c r="J60" s="179">
        <v>15176.7</v>
      </c>
      <c r="K60" s="177" t="d">
        <v>2021-06-21T09:39:00.00000008381903175</v>
      </c>
      <c r="L60" s="179">
        <v>15386.4</v>
      </c>
      <c r="M60" s="181">
        <f t="shared" si="21"/>
        <v>180.76</v>
      </c>
      <c r="N60" s="182">
        <f t="shared" si="22"/>
        <v>3.4</v>
      </c>
      <c r="O60" s="183">
        <f t="shared" si="23"/>
        <v>0</v>
      </c>
      <c r="P60" s="184">
        <f t="shared" si="24"/>
        <v>3.4</v>
      </c>
      <c r="Q60" s="184">
        <f t="shared" si="25"/>
        <v>0</v>
      </c>
      <c r="R60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0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24617.5</v>
      </c>
      <c r="T60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60" s="186">
        <f ca="1">IF(Tabla336106734810[[#This Row],[Equity]]&lt;Tabla336106734810[[#This Row],[Equity Peak]],(Tabla336106734810[[#This Row],[Equity Peak]]-Tabla336106734810[[#This Row],[Equity]])/Tabla336106734810[[#This Row],[Equity Peak]],"")</f>
        <v>1.5299999999999999E-2</v>
      </c>
      <c r="V60" s="187">
        <f t="shared" si="26"/>
        <v>0</v>
      </c>
      <c r="W60" s="187">
        <f t="shared" si="27"/>
        <v>0</v>
      </c>
      <c r="X60" s="187">
        <f t="shared" si="28"/>
        <v>0</v>
      </c>
      <c r="Y60" s="187">
        <f t="shared" si="29"/>
        <v>0</v>
      </c>
      <c r="Z60" s="187">
        <f t="shared" si="30"/>
        <v>3.4</v>
      </c>
      <c r="AA60" s="183">
        <f t="shared" si="31"/>
        <v>0</v>
      </c>
      <c r="AB60" s="187">
        <f t="shared" si="32"/>
        <v>0</v>
      </c>
      <c r="AC60" s="183">
        <f t="shared" si="33"/>
        <v>0</v>
      </c>
      <c r="AD60" s="188">
        <f t="shared" si="34"/>
        <v>2.7874999999985448</v>
      </c>
      <c r="AE60" s="188">
        <f t="shared" si="35"/>
        <v>2.7874999999985448</v>
      </c>
      <c r="AF60" s="188">
        <f t="shared" si="36"/>
        <v>0</v>
      </c>
      <c r="AG60" s="188">
        <f t="shared" si="37"/>
        <v>0</v>
      </c>
    </row>
    <row r="61" spans="2:33" ht="15" customHeight="1" x14ac:dyDescent="0.15">
      <c r="B61" s="174" t="s">
        <v>5</v>
      </c>
      <c r="C61" s="175" t="s">
        <v>15</v>
      </c>
      <c r="D61" s="176" t="str">
        <f t="shared" si="19"/>
        <v>C</v>
      </c>
      <c r="E61" s="177" t="d">
        <v>2021-06-14T05:29:59.99999979045242400</v>
      </c>
      <c r="F61" s="178" t="s">
        <v>80</v>
      </c>
      <c r="G61" s="179">
        <v>15730.06</v>
      </c>
      <c r="H61" s="179">
        <v>15684.25</v>
      </c>
      <c r="I61" s="180">
        <f t="shared" si="20"/>
        <v>45.809999999999491</v>
      </c>
      <c r="J61" s="179">
        <v>16065.99</v>
      </c>
      <c r="K61" s="177" t="d">
        <v>2021-06-14T11:45:00.00000020954757600</v>
      </c>
      <c r="L61" s="179">
        <v>15716.74</v>
      </c>
      <c r="M61" s="181">
        <f t="shared" si="21"/>
        <v>-13.32</v>
      </c>
      <c r="N61" s="182">
        <f t="shared" si="22"/>
        <v>-0.28999999999999998</v>
      </c>
      <c r="O61" s="183">
        <f t="shared" si="23"/>
        <v>0</v>
      </c>
      <c r="P61" s="184">
        <f t="shared" si="24"/>
        <v>0</v>
      </c>
      <c r="Q61" s="184">
        <f t="shared" si="25"/>
        <v>-0.28999999999999998</v>
      </c>
      <c r="R61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1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23767.5</v>
      </c>
      <c r="T61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61" s="186">
        <f ca="1">IF(Tabla336106734810[[#This Row],[Equity]]&lt;Tabla336106734810[[#This Row],[Equity Peak]],(Tabla336106734810[[#This Row],[Equity Peak]]-Tabla336106734810[[#This Row],[Equity]])/Tabla336106734810[[#This Row],[Equity Peak]],"")</f>
        <v>4.9299999999999997E-2</v>
      </c>
      <c r="V61" s="187">
        <f t="shared" si="26"/>
        <v>0</v>
      </c>
      <c r="W61" s="187">
        <f t="shared" si="27"/>
        <v>0</v>
      </c>
      <c r="X61" s="187">
        <f t="shared" si="28"/>
        <v>0</v>
      </c>
      <c r="Y61" s="187">
        <f t="shared" si="29"/>
        <v>0</v>
      </c>
      <c r="Z61" s="187">
        <f t="shared" si="30"/>
        <v>-0.28999999999999998</v>
      </c>
      <c r="AA61" s="183">
        <f t="shared" si="31"/>
        <v>0</v>
      </c>
      <c r="AB61" s="187">
        <f t="shared" si="32"/>
        <v>0</v>
      </c>
      <c r="AC61" s="183">
        <f t="shared" si="33"/>
        <v>0</v>
      </c>
      <c r="AD61" s="188">
        <f t="shared" si="34"/>
        <v>0.26041666667151731</v>
      </c>
      <c r="AE61" s="188">
        <f t="shared" si="35"/>
        <v>0</v>
      </c>
      <c r="AF61" s="188">
        <f t="shared" si="36"/>
        <v>0.26041666667151731</v>
      </c>
      <c r="AG61" s="188">
        <f t="shared" si="37"/>
        <v>0</v>
      </c>
    </row>
    <row r="62" spans="2:33" ht="15" customHeight="1" x14ac:dyDescent="0.15">
      <c r="B62" s="174" t="s">
        <v>5</v>
      </c>
      <c r="C62" s="175" t="s">
        <v>15</v>
      </c>
      <c r="D62" s="176" t="str">
        <f t="shared" si="19"/>
        <v>C</v>
      </c>
      <c r="E62" s="177" t="d">
        <v>2021-06-07T13:30:00.000</v>
      </c>
      <c r="F62" s="178" t="s">
        <v>80</v>
      </c>
      <c r="G62" s="179">
        <v>15712.44</v>
      </c>
      <c r="H62" s="179">
        <v>15666.87</v>
      </c>
      <c r="I62" s="180">
        <f t="shared" si="20"/>
        <v>45.569999999999709</v>
      </c>
      <c r="J62" s="179">
        <v>16046.61</v>
      </c>
      <c r="K62" s="177" t="d">
        <v>2021-06-07T18:39:00.00000008381903175</v>
      </c>
      <c r="L62" s="179">
        <v>15666.87</v>
      </c>
      <c r="M62" s="181">
        <f t="shared" si="21"/>
        <v>-45.57</v>
      </c>
      <c r="N62" s="182">
        <f t="shared" si="22"/>
        <v>-1</v>
      </c>
      <c r="O62" s="183">
        <f t="shared" si="23"/>
        <v>0</v>
      </c>
      <c r="P62" s="184">
        <f t="shared" si="24"/>
        <v>0</v>
      </c>
      <c r="Q62" s="184">
        <f t="shared" si="25"/>
        <v>-1</v>
      </c>
      <c r="R62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2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23840</v>
      </c>
      <c r="T62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62" s="186">
        <f ca="1">IF(Tabla336106734810[[#This Row],[Equity]]&lt;Tabla336106734810[[#This Row],[Equity Peak]],(Tabla336106734810[[#This Row],[Equity Peak]]-Tabla336106734810[[#This Row],[Equity]])/Tabla336106734810[[#This Row],[Equity Peak]],"")</f>
        <v>4.6399999999999997E-2</v>
      </c>
      <c r="V62" s="187">
        <f t="shared" si="26"/>
        <v>0</v>
      </c>
      <c r="W62" s="187">
        <f t="shared" si="27"/>
        <v>0</v>
      </c>
      <c r="X62" s="187">
        <f t="shared" si="28"/>
        <v>0</v>
      </c>
      <c r="Y62" s="187">
        <f t="shared" si="29"/>
        <v>0</v>
      </c>
      <c r="Z62" s="187">
        <f t="shared" si="30"/>
        <v>-1</v>
      </c>
      <c r="AA62" s="183">
        <f t="shared" si="31"/>
        <v>0</v>
      </c>
      <c r="AB62" s="187">
        <f t="shared" si="32"/>
        <v>0</v>
      </c>
      <c r="AC62" s="183">
        <f t="shared" si="33"/>
        <v>0</v>
      </c>
      <c r="AD62" s="188">
        <f t="shared" si="34"/>
        <v>0.21458333333430346</v>
      </c>
      <c r="AE62" s="188">
        <f t="shared" si="35"/>
        <v>0</v>
      </c>
      <c r="AF62" s="188">
        <f t="shared" si="36"/>
        <v>0.21458333333430346</v>
      </c>
      <c r="AG62" s="188">
        <f t="shared" si="37"/>
        <v>0</v>
      </c>
    </row>
    <row r="63" spans="2:33" ht="15" customHeight="1" x14ac:dyDescent="0.15">
      <c r="B63" s="174" t="s">
        <v>5</v>
      </c>
      <c r="C63" s="175" t="s">
        <v>15</v>
      </c>
      <c r="D63" s="176" t="str">
        <f t="shared" si="19"/>
        <v>C</v>
      </c>
      <c r="E63" s="177" t="d">
        <v>2021-06-01T10:44:59.99999979045242400</v>
      </c>
      <c r="F63" s="178" t="s">
        <v>80</v>
      </c>
      <c r="G63" s="179">
        <v>15580.66</v>
      </c>
      <c r="H63" s="179">
        <v>15544.18</v>
      </c>
      <c r="I63" s="180">
        <f t="shared" si="20"/>
        <v>36.479999999999563</v>
      </c>
      <c r="J63" s="179">
        <v>15848.16</v>
      </c>
      <c r="K63" s="177" t="d">
        <v>2021-06-01T16:50:59.99999970663339225</v>
      </c>
      <c r="L63" s="179">
        <v>15615.87</v>
      </c>
      <c r="M63" s="181">
        <f t="shared" si="21"/>
        <v>35.21</v>
      </c>
      <c r="N63" s="182">
        <f t="shared" si="22"/>
        <v>0.97</v>
      </c>
      <c r="O63" s="183">
        <f t="shared" si="23"/>
        <v>0</v>
      </c>
      <c r="P63" s="184">
        <f t="shared" si="24"/>
        <v>0.97</v>
      </c>
      <c r="Q63" s="184">
        <f t="shared" si="25"/>
        <v>0</v>
      </c>
      <c r="R63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3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24090</v>
      </c>
      <c r="T63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63" s="186">
        <f ca="1">IF(Tabla336106734810[[#This Row],[Equity]]&lt;Tabla336106734810[[#This Row],[Equity Peak]],(Tabla336106734810[[#This Row],[Equity Peak]]-Tabla336106734810[[#This Row],[Equity]])/Tabla336106734810[[#This Row],[Equity Peak]],"")</f>
        <v>3.6400000000000002E-2</v>
      </c>
      <c r="V63" s="187">
        <f t="shared" si="26"/>
        <v>0</v>
      </c>
      <c r="W63" s="187">
        <f t="shared" si="27"/>
        <v>0</v>
      </c>
      <c r="X63" s="187">
        <f t="shared" si="28"/>
        <v>0</v>
      </c>
      <c r="Y63" s="187">
        <f t="shared" si="29"/>
        <v>0</v>
      </c>
      <c r="Z63" s="187">
        <f t="shared" si="30"/>
        <v>0.97</v>
      </c>
      <c r="AA63" s="183">
        <f t="shared" si="31"/>
        <v>0</v>
      </c>
      <c r="AB63" s="187">
        <f t="shared" si="32"/>
        <v>0</v>
      </c>
      <c r="AC63" s="183">
        <f t="shared" si="33"/>
        <v>0</v>
      </c>
      <c r="AD63" s="188">
        <f t="shared" si="34"/>
        <v>0.25416666666569654</v>
      </c>
      <c r="AE63" s="188">
        <f t="shared" si="35"/>
        <v>0.25416666666569654</v>
      </c>
      <c r="AF63" s="188">
        <f t="shared" si="36"/>
        <v>0</v>
      </c>
      <c r="AG63" s="188">
        <f t="shared" si="37"/>
        <v>0</v>
      </c>
    </row>
    <row r="64" spans="2:33" ht="15" customHeight="1" x14ac:dyDescent="0.15">
      <c r="B64" s="174" t="s">
        <v>5</v>
      </c>
      <c r="C64" s="175" t="s">
        <v>15</v>
      </c>
      <c r="D64" s="176" t="str">
        <f t="shared" si="19"/>
        <v>C</v>
      </c>
      <c r="E64" s="177" t="d">
        <v>2021-05-24T17:45:00.00000020954757600</v>
      </c>
      <c r="F64" s="178" t="s">
        <v>80</v>
      </c>
      <c r="G64" s="179">
        <v>15544.2</v>
      </c>
      <c r="H64" s="179">
        <v>15495.67</v>
      </c>
      <c r="I64" s="180">
        <f t="shared" si="20"/>
        <v>48.530000000000655</v>
      </c>
      <c r="J64" s="179">
        <v>15900.1</v>
      </c>
      <c r="K64" s="177" t="d">
        <v>2021-05-25T10:35:59.99999991618096825</v>
      </c>
      <c r="L64" s="179">
        <v>15530.74</v>
      </c>
      <c r="M64" s="181">
        <f t="shared" si="21"/>
        <v>-13.46</v>
      </c>
      <c r="N64" s="182">
        <f t="shared" si="22"/>
        <v>-0.28000000000000003</v>
      </c>
      <c r="O64" s="183">
        <f t="shared" si="23"/>
        <v>0</v>
      </c>
      <c r="P64" s="184">
        <f t="shared" si="24"/>
        <v>0</v>
      </c>
      <c r="Q64" s="184">
        <f t="shared" si="25"/>
        <v>-0.28000000000000003</v>
      </c>
      <c r="R64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4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23847.5</v>
      </c>
      <c r="T64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64" s="186">
        <f ca="1">IF(Tabla336106734810[[#This Row],[Equity]]&lt;Tabla336106734810[[#This Row],[Equity Peak]],(Tabla336106734810[[#This Row],[Equity Peak]]-Tabla336106734810[[#This Row],[Equity]])/Tabla336106734810[[#This Row],[Equity Peak]],"")</f>
        <v>4.6100000000000002E-2</v>
      </c>
      <c r="V64" s="187">
        <f t="shared" si="26"/>
        <v>0</v>
      </c>
      <c r="W64" s="187">
        <f t="shared" si="27"/>
        <v>0</v>
      </c>
      <c r="X64" s="187">
        <f t="shared" si="28"/>
        <v>0</v>
      </c>
      <c r="Y64" s="187">
        <f t="shared" si="29"/>
        <v>0</v>
      </c>
      <c r="Z64" s="187">
        <f t="shared" si="30"/>
        <v>-0.28000000000000003</v>
      </c>
      <c r="AA64" s="183">
        <f t="shared" si="31"/>
        <v>0</v>
      </c>
      <c r="AB64" s="187">
        <f t="shared" si="32"/>
        <v>0</v>
      </c>
      <c r="AC64" s="183">
        <f t="shared" si="33"/>
        <v>0</v>
      </c>
      <c r="AD64" s="188">
        <f t="shared" si="34"/>
        <v>0.70208333332993789</v>
      </c>
      <c r="AE64" s="188">
        <f t="shared" si="35"/>
        <v>0</v>
      </c>
      <c r="AF64" s="188">
        <f t="shared" si="36"/>
        <v>0.70208333332993789</v>
      </c>
      <c r="AG64" s="188">
        <f t="shared" si="37"/>
        <v>0</v>
      </c>
    </row>
    <row r="65" spans="2:33" ht="15" customHeight="1" x14ac:dyDescent="0.15">
      <c r="B65" s="174" t="s">
        <v>5</v>
      </c>
      <c r="C65" s="175" t="s">
        <v>15</v>
      </c>
      <c r="D65" s="176" t="str">
        <f t="shared" si="19"/>
        <v>C</v>
      </c>
      <c r="E65" s="177" t="d">
        <v>2021-05-18T04:30:00.000</v>
      </c>
      <c r="F65" s="178" t="s">
        <v>80</v>
      </c>
      <c r="G65" s="179">
        <v>15477.34</v>
      </c>
      <c r="H65" s="179">
        <v>15416.99</v>
      </c>
      <c r="I65" s="180">
        <f t="shared" si="20"/>
        <v>60.350000000000364</v>
      </c>
      <c r="J65" s="179">
        <v>15919.88</v>
      </c>
      <c r="K65" s="177" t="d">
        <v>2021-05-18T11:54:00.00000008381903175</v>
      </c>
      <c r="L65" s="179">
        <v>15429.04</v>
      </c>
      <c r="M65" s="181">
        <f t="shared" si="21"/>
        <v>-48.3</v>
      </c>
      <c r="N65" s="182">
        <f t="shared" si="22"/>
        <v>-0.8</v>
      </c>
      <c r="O65" s="183">
        <f t="shared" si="23"/>
        <v>0</v>
      </c>
      <c r="P65" s="184">
        <f t="shared" si="24"/>
        <v>0</v>
      </c>
      <c r="Q65" s="184">
        <f t="shared" si="25"/>
        <v>-0.8</v>
      </c>
      <c r="R65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5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23917.5</v>
      </c>
      <c r="T65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65" s="186">
        <f ca="1">IF(Tabla336106734810[[#This Row],[Equity]]&lt;Tabla336106734810[[#This Row],[Equity Peak]],(Tabla336106734810[[#This Row],[Equity Peak]]-Tabla336106734810[[#This Row],[Equity]])/Tabla336106734810[[#This Row],[Equity Peak]],"")</f>
        <v>4.3299999999999998E-2</v>
      </c>
      <c r="V65" s="187">
        <f t="shared" si="26"/>
        <v>0</v>
      </c>
      <c r="W65" s="187">
        <f t="shared" si="27"/>
        <v>0</v>
      </c>
      <c r="X65" s="187">
        <f t="shared" si="28"/>
        <v>0</v>
      </c>
      <c r="Y65" s="187">
        <f t="shared" si="29"/>
        <v>0</v>
      </c>
      <c r="Z65" s="187">
        <f t="shared" si="30"/>
        <v>-0.8</v>
      </c>
      <c r="AA65" s="183">
        <f t="shared" si="31"/>
        <v>0</v>
      </c>
      <c r="AB65" s="187">
        <f t="shared" si="32"/>
        <v>0</v>
      </c>
      <c r="AC65" s="183">
        <f t="shared" si="33"/>
        <v>0</v>
      </c>
      <c r="AD65" s="188">
        <f t="shared" si="34"/>
        <v>0.30833333333430346</v>
      </c>
      <c r="AE65" s="188">
        <f t="shared" si="35"/>
        <v>0</v>
      </c>
      <c r="AF65" s="188">
        <f t="shared" si="36"/>
        <v>0.30833333333430346</v>
      </c>
      <c r="AG65" s="188">
        <f t="shared" si="37"/>
        <v>0</v>
      </c>
    </row>
    <row r="66" spans="2:33" ht="15" customHeight="1" x14ac:dyDescent="0.15">
      <c r="B66" s="174" t="s">
        <v>5</v>
      </c>
      <c r="C66" s="175" t="s">
        <v>15</v>
      </c>
      <c r="D66" s="176" t="str">
        <f t="shared" si="19"/>
        <v>C</v>
      </c>
      <c r="E66" s="177" t="d">
        <v>2021-05-14T18:45:00.000</v>
      </c>
      <c r="F66" s="178" t="s">
        <v>80</v>
      </c>
      <c r="G66" s="179">
        <v>15409.81</v>
      </c>
      <c r="H66" s="179">
        <v>15331</v>
      </c>
      <c r="I66" s="180">
        <f t="shared" si="20"/>
        <v>78.809999999999491</v>
      </c>
      <c r="J66" s="179">
        <v>15987.71</v>
      </c>
      <c r="K66" s="177" t="d">
        <v>2021-05-17T13:09:00.00000029336660775</v>
      </c>
      <c r="L66" s="179">
        <v>15358.25</v>
      </c>
      <c r="M66" s="181">
        <f t="shared" si="21"/>
        <v>-51.56</v>
      </c>
      <c r="N66" s="182">
        <f t="shared" si="22"/>
        <v>-0.65</v>
      </c>
      <c r="O66" s="183">
        <f t="shared" si="23"/>
        <v>0</v>
      </c>
      <c r="P66" s="184">
        <f t="shared" si="24"/>
        <v>0</v>
      </c>
      <c r="Q66" s="184">
        <f t="shared" si="25"/>
        <v>-0.65</v>
      </c>
      <c r="R66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6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24117.5</v>
      </c>
      <c r="T66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66" s="186">
        <f ca="1">IF(Tabla336106734810[[#This Row],[Equity]]&lt;Tabla336106734810[[#This Row],[Equity Peak]],(Tabla336106734810[[#This Row],[Equity Peak]]-Tabla336106734810[[#This Row],[Equity]])/Tabla336106734810[[#This Row],[Equity Peak]],"")</f>
        <v>3.5299999999999998E-2</v>
      </c>
      <c r="V66" s="187">
        <f t="shared" si="26"/>
        <v>0</v>
      </c>
      <c r="W66" s="187">
        <f t="shared" si="27"/>
        <v>0</v>
      </c>
      <c r="X66" s="187">
        <f t="shared" si="28"/>
        <v>0</v>
      </c>
      <c r="Y66" s="187">
        <f t="shared" si="29"/>
        <v>0</v>
      </c>
      <c r="Z66" s="187">
        <f t="shared" si="30"/>
        <v>-0.65</v>
      </c>
      <c r="AA66" s="183">
        <f t="shared" si="31"/>
        <v>0</v>
      </c>
      <c r="AB66" s="187">
        <f t="shared" si="32"/>
        <v>0</v>
      </c>
      <c r="AC66" s="183">
        <f t="shared" si="33"/>
        <v>0</v>
      </c>
      <c r="AD66" s="188">
        <f t="shared" si="34"/>
        <v>2.7666666666700621</v>
      </c>
      <c r="AE66" s="188">
        <f t="shared" si="35"/>
        <v>0</v>
      </c>
      <c r="AF66" s="188">
        <f t="shared" si="36"/>
        <v>2.7666666666700621</v>
      </c>
      <c r="AG66" s="188">
        <f t="shared" si="37"/>
        <v>0</v>
      </c>
    </row>
    <row r="67" spans="2:33" ht="15" customHeight="1" x14ac:dyDescent="0.15">
      <c r="B67" s="174" t="s">
        <v>5</v>
      </c>
      <c r="C67" s="175" t="s">
        <v>13</v>
      </c>
      <c r="D67" s="176" t="str">
        <f t="shared" si="19"/>
        <v>C</v>
      </c>
      <c r="E67" s="177" t="d">
        <v>2021-05-13T10:15:00.00000020954757600</v>
      </c>
      <c r="F67" s="178" t="s">
        <v>80</v>
      </c>
      <c r="G67" s="179">
        <v>14962.37</v>
      </c>
      <c r="H67" s="179">
        <v>15052.4</v>
      </c>
      <c r="I67" s="180">
        <f t="shared" si="20"/>
        <v>90.029999999998836</v>
      </c>
      <c r="J67" s="179">
        <v>14302.17</v>
      </c>
      <c r="K67" s="177" t="d">
        <v>2021-05-13T14:33:59.99999994412064550</v>
      </c>
      <c r="L67" s="179">
        <v>14970.31</v>
      </c>
      <c r="M67" s="181">
        <f t="shared" si="21"/>
        <v>-7.94</v>
      </c>
      <c r="N67" s="182">
        <f t="shared" si="22"/>
        <v>-0.09</v>
      </c>
      <c r="O67" s="183">
        <f t="shared" si="23"/>
        <v>0</v>
      </c>
      <c r="P67" s="184">
        <f t="shared" si="24"/>
        <v>0</v>
      </c>
      <c r="Q67" s="184">
        <f t="shared" si="25"/>
        <v>-0.09</v>
      </c>
      <c r="R67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7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24280</v>
      </c>
      <c r="T67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67" s="186">
        <f ca="1">IF(Tabla336106734810[[#This Row],[Equity]]&lt;Tabla336106734810[[#This Row],[Equity Peak]],(Tabla336106734810[[#This Row],[Equity Peak]]-Tabla336106734810[[#This Row],[Equity]])/Tabla336106734810[[#This Row],[Equity Peak]],"")</f>
        <v>2.8799999999999999E-2</v>
      </c>
      <c r="V67" s="187">
        <f t="shared" si="26"/>
        <v>0</v>
      </c>
      <c r="W67" s="187">
        <f t="shared" si="27"/>
        <v>0</v>
      </c>
      <c r="X67" s="187">
        <f t="shared" si="28"/>
        <v>0</v>
      </c>
      <c r="Y67" s="187">
        <f t="shared" si="29"/>
        <v>0</v>
      </c>
      <c r="Z67" s="187">
        <f t="shared" si="30"/>
        <v>-0.09</v>
      </c>
      <c r="AA67" s="183">
        <f t="shared" si="31"/>
        <v>0</v>
      </c>
      <c r="AB67" s="187">
        <f t="shared" si="32"/>
        <v>0</v>
      </c>
      <c r="AC67" s="183">
        <f t="shared" si="33"/>
        <v>0</v>
      </c>
      <c r="AD67" s="188">
        <f t="shared" si="34"/>
        <v>0.17986111110803904</v>
      </c>
      <c r="AE67" s="188">
        <f t="shared" si="35"/>
        <v>0</v>
      </c>
      <c r="AF67" s="188">
        <f t="shared" si="36"/>
        <v>0.17986111110803904</v>
      </c>
      <c r="AG67" s="188">
        <f t="shared" si="37"/>
        <v>0</v>
      </c>
    </row>
    <row r="68" spans="2:33" ht="15" customHeight="1" x14ac:dyDescent="0.15">
      <c r="B68" s="174" t="s">
        <v>5</v>
      </c>
      <c r="C68" s="175" t="s">
        <v>15</v>
      </c>
      <c r="D68" s="176" t="str">
        <f t="shared" si="19"/>
        <v>C</v>
      </c>
      <c r="E68" s="177" t="d">
        <v>2021-05-07T09:59:59.99999979045242400</v>
      </c>
      <c r="F68" s="178" t="s">
        <v>80</v>
      </c>
      <c r="G68" s="179">
        <v>15320.79</v>
      </c>
      <c r="H68" s="179">
        <v>15261.54</v>
      </c>
      <c r="I68" s="180">
        <f t="shared" si="20"/>
        <v>59.25</v>
      </c>
      <c r="J68" s="179">
        <v>15755.27</v>
      </c>
      <c r="K68" s="177" t="d">
        <v>2021-05-10T12:39:00.00000008381903175</v>
      </c>
      <c r="L68" s="179">
        <v>15351.33</v>
      </c>
      <c r="M68" s="181">
        <f t="shared" si="21"/>
        <v>30.54</v>
      </c>
      <c r="N68" s="182">
        <f t="shared" si="22"/>
        <v>0.52</v>
      </c>
      <c r="O68" s="183">
        <f t="shared" si="23"/>
        <v>0</v>
      </c>
      <c r="P68" s="184">
        <f t="shared" si="24"/>
        <v>0.52</v>
      </c>
      <c r="Q68" s="184">
        <f t="shared" si="25"/>
        <v>0</v>
      </c>
      <c r="R68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8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24302.5</v>
      </c>
      <c r="T68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68" s="186">
        <f ca="1">IF(Tabla336106734810[[#This Row],[Equity]]&lt;Tabla336106734810[[#This Row],[Equity Peak]],(Tabla336106734810[[#This Row],[Equity Peak]]-Tabla336106734810[[#This Row],[Equity]])/Tabla336106734810[[#This Row],[Equity Peak]],"")</f>
        <v>2.7900000000000001E-2</v>
      </c>
      <c r="V68" s="187">
        <f t="shared" si="26"/>
        <v>0</v>
      </c>
      <c r="W68" s="187">
        <f t="shared" si="27"/>
        <v>0</v>
      </c>
      <c r="X68" s="187">
        <f t="shared" si="28"/>
        <v>0</v>
      </c>
      <c r="Y68" s="187">
        <f t="shared" si="29"/>
        <v>0</v>
      </c>
      <c r="Z68" s="187">
        <f t="shared" si="30"/>
        <v>0.52</v>
      </c>
      <c r="AA68" s="183">
        <f t="shared" si="31"/>
        <v>0</v>
      </c>
      <c r="AB68" s="187">
        <f t="shared" si="32"/>
        <v>0</v>
      </c>
      <c r="AC68" s="183">
        <f t="shared" si="33"/>
        <v>0</v>
      </c>
      <c r="AD68" s="188">
        <f t="shared" si="34"/>
        <v>3.1104166666700621</v>
      </c>
      <c r="AE68" s="188">
        <f t="shared" si="35"/>
        <v>3.1104166666700621</v>
      </c>
      <c r="AF68" s="188">
        <f t="shared" si="36"/>
        <v>0</v>
      </c>
      <c r="AG68" s="188">
        <f t="shared" si="37"/>
        <v>0</v>
      </c>
    </row>
    <row r="69" spans="2:33" ht="15" customHeight="1" x14ac:dyDescent="0.15">
      <c r="B69" s="174" t="s">
        <v>5</v>
      </c>
      <c r="C69" s="175" t="s">
        <v>13</v>
      </c>
      <c r="D69" s="176" t="str">
        <f t="shared" si="19"/>
        <v>C</v>
      </c>
      <c r="E69" s="177" t="d">
        <v>2021-05-04T15:14:59.99999979045242400</v>
      </c>
      <c r="F69" s="178" t="s">
        <v>80</v>
      </c>
      <c r="G69" s="179">
        <v>15025.8</v>
      </c>
      <c r="H69" s="179">
        <v>15084.78</v>
      </c>
      <c r="I69" s="180">
        <f t="shared" si="20"/>
        <v>58.980000000001382</v>
      </c>
      <c r="J69" s="179">
        <v>14593.29</v>
      </c>
      <c r="K69" s="177" t="d">
        <v>2021-05-05T03:49:00.00000015366822150</v>
      </c>
      <c r="L69" s="179">
        <v>14956.81</v>
      </c>
      <c r="M69" s="181">
        <f t="shared" si="21"/>
        <v>68.989999999999995</v>
      </c>
      <c r="N69" s="182">
        <f t="shared" si="22"/>
        <v>1.17</v>
      </c>
      <c r="O69" s="183">
        <f t="shared" si="23"/>
        <v>0</v>
      </c>
      <c r="P69" s="184">
        <f t="shared" si="24"/>
        <v>1.17</v>
      </c>
      <c r="Q69" s="184">
        <f t="shared" si="25"/>
        <v>0</v>
      </c>
      <c r="R69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69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24172.5</v>
      </c>
      <c r="T69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69" s="186">
        <f ca="1">IF(Tabla336106734810[[#This Row],[Equity]]&lt;Tabla336106734810[[#This Row],[Equity Peak]],(Tabla336106734810[[#This Row],[Equity Peak]]-Tabla336106734810[[#This Row],[Equity]])/Tabla336106734810[[#This Row],[Equity Peak]],"")</f>
        <v>3.3099999999999997E-2</v>
      </c>
      <c r="V69" s="187">
        <f t="shared" si="26"/>
        <v>0</v>
      </c>
      <c r="W69" s="187">
        <f t="shared" si="27"/>
        <v>0</v>
      </c>
      <c r="X69" s="187">
        <f t="shared" si="28"/>
        <v>0</v>
      </c>
      <c r="Y69" s="187">
        <f t="shared" si="29"/>
        <v>0</v>
      </c>
      <c r="Z69" s="187">
        <f t="shared" si="30"/>
        <v>1.17</v>
      </c>
      <c r="AA69" s="183">
        <f t="shared" si="31"/>
        <v>0</v>
      </c>
      <c r="AB69" s="187">
        <f t="shared" si="32"/>
        <v>0</v>
      </c>
      <c r="AC69" s="183">
        <f t="shared" si="33"/>
        <v>0</v>
      </c>
      <c r="AD69" s="188">
        <f t="shared" si="34"/>
        <v>0.523611111115315</v>
      </c>
      <c r="AE69" s="188">
        <f t="shared" si="35"/>
        <v>0.523611111115315</v>
      </c>
      <c r="AF69" s="188">
        <f t="shared" si="36"/>
        <v>0</v>
      </c>
      <c r="AG69" s="188">
        <f t="shared" si="37"/>
        <v>0</v>
      </c>
    </row>
    <row r="70" spans="2:33" ht="15" customHeight="1" x14ac:dyDescent="0.15">
      <c r="B70" s="174" t="s">
        <v>5</v>
      </c>
      <c r="C70" s="175" t="s">
        <v>13</v>
      </c>
      <c r="D70" s="176" t="str">
        <f t="shared" si="19"/>
        <v>C</v>
      </c>
      <c r="E70" s="177" t="d">
        <v>2021-04-29T17:15:00.000</v>
      </c>
      <c r="F70" s="178" t="s">
        <v>80</v>
      </c>
      <c r="G70" s="179">
        <v>15146.71</v>
      </c>
      <c r="H70" s="179">
        <v>15191.73</v>
      </c>
      <c r="I70" s="180">
        <f t="shared" si="20"/>
        <v>45.020000000000437</v>
      </c>
      <c r="J70" s="179">
        <v>14816.55</v>
      </c>
      <c r="K70" s="177" t="d">
        <v>2021-04-29T21:21:59.99999990221113300</v>
      </c>
      <c r="L70" s="179">
        <v>15184.81</v>
      </c>
      <c r="M70" s="181">
        <f t="shared" si="21"/>
        <v>-38.1</v>
      </c>
      <c r="N70" s="182">
        <f t="shared" si="22"/>
        <v>-0.85</v>
      </c>
      <c r="O70" s="183">
        <f t="shared" si="23"/>
        <v>0</v>
      </c>
      <c r="P70" s="184">
        <f t="shared" si="24"/>
        <v>0</v>
      </c>
      <c r="Q70" s="184">
        <f t="shared" si="25"/>
        <v>-0.85</v>
      </c>
      <c r="R70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0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23880</v>
      </c>
      <c r="T70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70" s="186">
        <f ca="1">IF(Tabla336106734810[[#This Row],[Equity]]&lt;Tabla336106734810[[#This Row],[Equity Peak]],(Tabla336106734810[[#This Row],[Equity Peak]]-Tabla336106734810[[#This Row],[Equity]])/Tabla336106734810[[#This Row],[Equity Peak]],"")</f>
        <v>4.48E-2</v>
      </c>
      <c r="V70" s="187">
        <f t="shared" si="26"/>
        <v>0</v>
      </c>
      <c r="W70" s="187">
        <f t="shared" si="27"/>
        <v>0</v>
      </c>
      <c r="X70" s="187">
        <f t="shared" si="28"/>
        <v>0</v>
      </c>
      <c r="Y70" s="187">
        <f t="shared" si="29"/>
        <v>0</v>
      </c>
      <c r="Z70" s="187">
        <f t="shared" si="30"/>
        <v>-0.85</v>
      </c>
      <c r="AA70" s="183">
        <f t="shared" si="31"/>
        <v>0</v>
      </c>
      <c r="AB70" s="187">
        <f t="shared" si="32"/>
        <v>0</v>
      </c>
      <c r="AC70" s="183">
        <f t="shared" si="33"/>
        <v>0</v>
      </c>
      <c r="AD70" s="188">
        <f t="shared" si="34"/>
        <v>0.17152777777664596</v>
      </c>
      <c r="AE70" s="188">
        <f t="shared" si="35"/>
        <v>0</v>
      </c>
      <c r="AF70" s="188">
        <f t="shared" si="36"/>
        <v>0.17152777777664596</v>
      </c>
      <c r="AG70" s="188">
        <f t="shared" si="37"/>
        <v>0</v>
      </c>
    </row>
    <row r="71" spans="2:33" ht="15" customHeight="1" x14ac:dyDescent="0.15">
      <c r="B71" s="174" t="s">
        <v>5</v>
      </c>
      <c r="C71" s="175" t="s">
        <v>15</v>
      </c>
      <c r="D71" s="176" t="str">
        <f t="shared" si="19"/>
        <v>C</v>
      </c>
      <c r="E71" s="177" t="d">
        <v>2021-04-28T17:15:00.000</v>
      </c>
      <c r="F71" s="178" t="s">
        <v>80</v>
      </c>
      <c r="G71" s="179">
        <v>15351.32</v>
      </c>
      <c r="H71" s="179">
        <v>15311.05</v>
      </c>
      <c r="I71" s="180">
        <f t="shared" si="20"/>
        <v>40.270000000000437</v>
      </c>
      <c r="J71" s="179">
        <v>15646.62</v>
      </c>
      <c r="K71" s="177" t="d">
        <v>2021-04-28T18:11:59.99999983236193650</v>
      </c>
      <c r="L71" s="179">
        <v>15311.05</v>
      </c>
      <c r="M71" s="181">
        <f t="shared" si="21"/>
        <v>-40.270000000000003</v>
      </c>
      <c r="N71" s="182">
        <f t="shared" si="22"/>
        <v>-1</v>
      </c>
      <c r="O71" s="183">
        <f t="shared" si="23"/>
        <v>0</v>
      </c>
      <c r="P71" s="184">
        <f t="shared" si="24"/>
        <v>0</v>
      </c>
      <c r="Q71" s="184">
        <f t="shared" si="25"/>
        <v>-1</v>
      </c>
      <c r="R71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1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24092.5</v>
      </c>
      <c r="T71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71" s="186">
        <f ca="1">IF(Tabla336106734810[[#This Row],[Equity]]&lt;Tabla336106734810[[#This Row],[Equity Peak]],(Tabla336106734810[[#This Row],[Equity Peak]]-Tabla336106734810[[#This Row],[Equity]])/Tabla336106734810[[#This Row],[Equity Peak]],"")</f>
        <v>3.6299999999999999E-2</v>
      </c>
      <c r="V71" s="187">
        <f t="shared" si="26"/>
        <v>0</v>
      </c>
      <c r="W71" s="187">
        <f t="shared" si="27"/>
        <v>0</v>
      </c>
      <c r="X71" s="187">
        <f t="shared" si="28"/>
        <v>0</v>
      </c>
      <c r="Y71" s="187">
        <f t="shared" si="29"/>
        <v>0</v>
      </c>
      <c r="Z71" s="187">
        <f t="shared" si="30"/>
        <v>-1</v>
      </c>
      <c r="AA71" s="183">
        <f t="shared" si="31"/>
        <v>0</v>
      </c>
      <c r="AB71" s="187">
        <f t="shared" si="32"/>
        <v>0</v>
      </c>
      <c r="AC71" s="183">
        <f t="shared" si="33"/>
        <v>0</v>
      </c>
      <c r="AD71" s="188">
        <f t="shared" si="34"/>
        <v>3.9583333331393078E-2</v>
      </c>
      <c r="AE71" s="188">
        <f t="shared" si="35"/>
        <v>0</v>
      </c>
      <c r="AF71" s="188">
        <f t="shared" si="36"/>
        <v>3.9583333331393078E-2</v>
      </c>
      <c r="AG71" s="188">
        <f t="shared" si="37"/>
        <v>0</v>
      </c>
    </row>
    <row r="72" spans="2:33" ht="15" customHeight="1" x14ac:dyDescent="0.15">
      <c r="B72" s="174" t="s">
        <v>5</v>
      </c>
      <c r="C72" s="175" t="s">
        <v>15</v>
      </c>
      <c r="D72" s="176" t="str">
        <f t="shared" si="19"/>
        <v>C</v>
      </c>
      <c r="E72" s="177" t="d">
        <v>2021-04-16T10:30:00.000</v>
      </c>
      <c r="F72" s="178" t="s">
        <v>80</v>
      </c>
      <c r="G72" s="179">
        <v>15325.12</v>
      </c>
      <c r="H72" s="179">
        <v>15287.46</v>
      </c>
      <c r="I72" s="180">
        <f t="shared" si="20"/>
        <v>37.660000000001673</v>
      </c>
      <c r="J72" s="179">
        <v>15601.29</v>
      </c>
      <c r="K72" s="177" t="d">
        <v>2021-04-19T03:14:59.99999979045242400</v>
      </c>
      <c r="L72" s="179">
        <v>15453.24</v>
      </c>
      <c r="M72" s="181">
        <f t="shared" si="21"/>
        <v>128.12</v>
      </c>
      <c r="N72" s="182">
        <f t="shared" si="22"/>
        <v>3.4</v>
      </c>
      <c r="O72" s="183">
        <f t="shared" si="23"/>
        <v>0</v>
      </c>
      <c r="P72" s="184">
        <f t="shared" si="24"/>
        <v>3.4</v>
      </c>
      <c r="Q72" s="184">
        <f t="shared" si="25"/>
        <v>0</v>
      </c>
      <c r="R72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2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24342.5</v>
      </c>
      <c r="T72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72" s="186">
        <f ca="1">IF(Tabla336106734810[[#This Row],[Equity]]&lt;Tabla336106734810[[#This Row],[Equity Peak]],(Tabla336106734810[[#This Row],[Equity Peak]]-Tabla336106734810[[#This Row],[Equity]])/Tabla336106734810[[#This Row],[Equity Peak]],"")</f>
        <v>2.63E-2</v>
      </c>
      <c r="V72" s="187">
        <f t="shared" si="26"/>
        <v>0</v>
      </c>
      <c r="W72" s="187">
        <f t="shared" si="27"/>
        <v>0</v>
      </c>
      <c r="X72" s="187">
        <f t="shared" si="28"/>
        <v>0</v>
      </c>
      <c r="Y72" s="187">
        <f t="shared" si="29"/>
        <v>0</v>
      </c>
      <c r="Z72" s="187">
        <f t="shared" si="30"/>
        <v>3.4</v>
      </c>
      <c r="AA72" s="183">
        <f t="shared" si="31"/>
        <v>0</v>
      </c>
      <c r="AB72" s="187">
        <f t="shared" si="32"/>
        <v>0</v>
      </c>
      <c r="AC72" s="183">
        <f t="shared" si="33"/>
        <v>0</v>
      </c>
      <c r="AD72" s="188">
        <f t="shared" si="34"/>
        <v>2.6979166666642413</v>
      </c>
      <c r="AE72" s="188">
        <f t="shared" si="35"/>
        <v>2.6979166666642413</v>
      </c>
      <c r="AF72" s="188">
        <f t="shared" si="36"/>
        <v>0</v>
      </c>
      <c r="AG72" s="188">
        <f t="shared" si="37"/>
        <v>0</v>
      </c>
    </row>
    <row r="73" spans="2:33" ht="15" customHeight="1" x14ac:dyDescent="0.15">
      <c r="B73" s="174" t="s">
        <v>5</v>
      </c>
      <c r="C73" s="175" t="s">
        <v>15</v>
      </c>
      <c r="D73" s="176" t="str">
        <f t="shared" si="19"/>
        <v>C</v>
      </c>
      <c r="E73" s="177" t="d">
        <v>2021-04-16T09:00:00.000</v>
      </c>
      <c r="F73" s="178" t="s">
        <v>80</v>
      </c>
      <c r="G73" s="179">
        <v>15310.12</v>
      </c>
      <c r="H73" s="179">
        <v>15273.66</v>
      </c>
      <c r="I73" s="180">
        <f t="shared" si="20"/>
        <v>36.460000000000946</v>
      </c>
      <c r="J73" s="179">
        <v>15577.49</v>
      </c>
      <c r="K73" s="177" t="d">
        <v>2021-04-16T09:59:59.99999979045242400</v>
      </c>
      <c r="L73" s="179">
        <v>15273.66</v>
      </c>
      <c r="M73" s="181">
        <f t="shared" si="21"/>
        <v>-36.46</v>
      </c>
      <c r="N73" s="182">
        <f t="shared" si="22"/>
        <v>-1</v>
      </c>
      <c r="O73" s="183">
        <f t="shared" si="23"/>
        <v>0</v>
      </c>
      <c r="P73" s="184">
        <f t="shared" si="24"/>
        <v>0</v>
      </c>
      <c r="Q73" s="184">
        <f t="shared" si="25"/>
        <v>-1</v>
      </c>
      <c r="R73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3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23492.5</v>
      </c>
      <c r="T73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73" s="186">
        <f ca="1">IF(Tabla336106734810[[#This Row],[Equity]]&lt;Tabla336106734810[[#This Row],[Equity Peak]],(Tabla336106734810[[#This Row],[Equity Peak]]-Tabla336106734810[[#This Row],[Equity]])/Tabla336106734810[[#This Row],[Equity Peak]],"")</f>
        <v>6.0299999999999999E-2</v>
      </c>
      <c r="V73" s="187">
        <f t="shared" si="26"/>
        <v>0</v>
      </c>
      <c r="W73" s="187">
        <f t="shared" si="27"/>
        <v>0</v>
      </c>
      <c r="X73" s="187">
        <f t="shared" si="28"/>
        <v>0</v>
      </c>
      <c r="Y73" s="187">
        <f t="shared" si="29"/>
        <v>0</v>
      </c>
      <c r="Z73" s="187">
        <f t="shared" si="30"/>
        <v>-1</v>
      </c>
      <c r="AA73" s="183">
        <f t="shared" si="31"/>
        <v>0</v>
      </c>
      <c r="AB73" s="187">
        <f t="shared" si="32"/>
        <v>0</v>
      </c>
      <c r="AC73" s="183">
        <f t="shared" si="33"/>
        <v>0</v>
      </c>
      <c r="AD73" s="188">
        <f t="shared" si="34"/>
        <v>4.1666666664241347E-2</v>
      </c>
      <c r="AE73" s="188">
        <f t="shared" si="35"/>
        <v>0</v>
      </c>
      <c r="AF73" s="188">
        <f t="shared" si="36"/>
        <v>4.1666666664241347E-2</v>
      </c>
      <c r="AG73" s="188">
        <f t="shared" si="37"/>
        <v>0</v>
      </c>
    </row>
    <row r="74" spans="2:33" ht="15" customHeight="1" x14ac:dyDescent="0.15">
      <c r="B74" s="174" t="s">
        <v>5</v>
      </c>
      <c r="C74" s="175" t="s">
        <v>15</v>
      </c>
      <c r="D74" s="176" t="str">
        <f t="shared" si="19"/>
        <v>C</v>
      </c>
      <c r="E74" s="177" t="d">
        <v>2021-04-14T08:00:00.00000020954757600</v>
      </c>
      <c r="F74" s="178" t="s">
        <v>80</v>
      </c>
      <c r="G74" s="179">
        <v>15293.35</v>
      </c>
      <c r="H74" s="179">
        <v>15256.7</v>
      </c>
      <c r="I74" s="180">
        <f t="shared" si="20"/>
        <v>36.649999999999636</v>
      </c>
      <c r="J74" s="179">
        <v>15562.1</v>
      </c>
      <c r="K74" s="177" t="d">
        <v>2021-04-14T10:06:59.99999990221113300</v>
      </c>
      <c r="L74" s="179">
        <v>15256.7</v>
      </c>
      <c r="M74" s="181">
        <f t="shared" si="21"/>
        <v>-36.65</v>
      </c>
      <c r="N74" s="182">
        <f t="shared" si="22"/>
        <v>-1</v>
      </c>
      <c r="O74" s="183">
        <f t="shared" si="23"/>
        <v>0</v>
      </c>
      <c r="P74" s="184">
        <f t="shared" si="24"/>
        <v>0</v>
      </c>
      <c r="Q74" s="184">
        <f t="shared" si="25"/>
        <v>-1</v>
      </c>
      <c r="R74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4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23742.5</v>
      </c>
      <c r="T74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74" s="186">
        <f ca="1">IF(Tabla336106734810[[#This Row],[Equity]]&lt;Tabla336106734810[[#This Row],[Equity Peak]],(Tabla336106734810[[#This Row],[Equity Peak]]-Tabla336106734810[[#This Row],[Equity]])/Tabla336106734810[[#This Row],[Equity Peak]],"")</f>
        <v>5.0299999999999997E-2</v>
      </c>
      <c r="V74" s="187">
        <f t="shared" si="26"/>
        <v>0</v>
      </c>
      <c r="W74" s="187">
        <f t="shared" si="27"/>
        <v>0</v>
      </c>
      <c r="X74" s="187">
        <f t="shared" si="28"/>
        <v>0</v>
      </c>
      <c r="Y74" s="187">
        <f t="shared" si="29"/>
        <v>0</v>
      </c>
      <c r="Z74" s="187">
        <f t="shared" si="30"/>
        <v>-1</v>
      </c>
      <c r="AA74" s="183">
        <f t="shared" si="31"/>
        <v>0</v>
      </c>
      <c r="AB74" s="187">
        <f t="shared" si="32"/>
        <v>0</v>
      </c>
      <c r="AC74" s="183">
        <f t="shared" si="33"/>
        <v>0</v>
      </c>
      <c r="AD74" s="188">
        <f t="shared" si="34"/>
        <v>8.819444444088731E-2</v>
      </c>
      <c r="AE74" s="188">
        <f t="shared" si="35"/>
        <v>0</v>
      </c>
      <c r="AF74" s="188">
        <f t="shared" si="36"/>
        <v>8.819444444088731E-2</v>
      </c>
      <c r="AG74" s="188">
        <f t="shared" si="37"/>
        <v>0</v>
      </c>
    </row>
    <row r="75" spans="2:33" ht="15" customHeight="1" x14ac:dyDescent="0.15">
      <c r="B75" s="174" t="s">
        <v>5</v>
      </c>
      <c r="C75" s="175" t="s">
        <v>15</v>
      </c>
      <c r="D75" s="176" t="str">
        <f t="shared" si="19"/>
        <v>C</v>
      </c>
      <c r="E75" s="177" t="d">
        <v>2021-04-13T12:59:59.99999979045242400</v>
      </c>
      <c r="F75" s="178" t="s">
        <v>80</v>
      </c>
      <c r="G75" s="179">
        <v>15284.87</v>
      </c>
      <c r="H75" s="179">
        <v>15247.2</v>
      </c>
      <c r="I75" s="180">
        <f t="shared" si="20"/>
        <v>37.670000000000073</v>
      </c>
      <c r="J75" s="179">
        <v>15561.11</v>
      </c>
      <c r="K75" s="177" t="d">
        <v>2021-04-13T13:48:59.99999994412064550</v>
      </c>
      <c r="L75" s="179">
        <v>15247.2</v>
      </c>
      <c r="M75" s="181">
        <f t="shared" si="21"/>
        <v>-37.67</v>
      </c>
      <c r="N75" s="182">
        <f t="shared" si="22"/>
        <v>-1</v>
      </c>
      <c r="O75" s="183">
        <f t="shared" si="23"/>
        <v>0</v>
      </c>
      <c r="P75" s="184">
        <f t="shared" si="24"/>
        <v>0</v>
      </c>
      <c r="Q75" s="184">
        <f t="shared" si="25"/>
        <v>-1</v>
      </c>
      <c r="R75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5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23992.5</v>
      </c>
      <c r="T75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75" s="186">
        <f ca="1">IF(Tabla336106734810[[#This Row],[Equity]]&lt;Tabla336106734810[[#This Row],[Equity Peak]],(Tabla336106734810[[#This Row],[Equity Peak]]-Tabla336106734810[[#This Row],[Equity]])/Tabla336106734810[[#This Row],[Equity Peak]],"")</f>
        <v>4.0300000000000002E-2</v>
      </c>
      <c r="V75" s="187">
        <f t="shared" si="26"/>
        <v>0</v>
      </c>
      <c r="W75" s="187">
        <f t="shared" si="27"/>
        <v>0</v>
      </c>
      <c r="X75" s="187">
        <f t="shared" si="28"/>
        <v>0</v>
      </c>
      <c r="Y75" s="187">
        <f t="shared" si="29"/>
        <v>0</v>
      </c>
      <c r="Z75" s="187">
        <f t="shared" si="30"/>
        <v>-1</v>
      </c>
      <c r="AA75" s="183">
        <f t="shared" si="31"/>
        <v>0</v>
      </c>
      <c r="AB75" s="187">
        <f t="shared" si="32"/>
        <v>0</v>
      </c>
      <c r="AC75" s="183">
        <f t="shared" si="33"/>
        <v>0</v>
      </c>
      <c r="AD75" s="188">
        <f t="shared" si="34"/>
        <v>3.4027777779556345E-2</v>
      </c>
      <c r="AE75" s="188">
        <f t="shared" si="35"/>
        <v>0</v>
      </c>
      <c r="AF75" s="188">
        <f t="shared" si="36"/>
        <v>3.4027777779556345E-2</v>
      </c>
      <c r="AG75" s="188">
        <f t="shared" si="37"/>
        <v>0</v>
      </c>
    </row>
    <row r="76" spans="2:33" ht="15" customHeight="1" x14ac:dyDescent="0.15">
      <c r="B76" s="174" t="s">
        <v>5</v>
      </c>
      <c r="C76" s="175" t="s">
        <v>15</v>
      </c>
      <c r="D76" s="176" t="str">
        <f t="shared" si="19"/>
        <v>C</v>
      </c>
      <c r="E76" s="177" t="d">
        <v>2021-03-26T09:00:00.000</v>
      </c>
      <c r="F76" s="178" t="s">
        <v>80</v>
      </c>
      <c r="G76" s="179">
        <v>14718.64</v>
      </c>
      <c r="H76" s="179">
        <v>14665.71</v>
      </c>
      <c r="I76" s="180">
        <f t="shared" si="20"/>
        <v>52.930000000000291</v>
      </c>
      <c r="J76" s="179">
        <v>15106.83</v>
      </c>
      <c r="K76" s="177" t="d">
        <v>2021-03-29T04:38:59.99999987427145575</v>
      </c>
      <c r="L76" s="179">
        <v>14752.25</v>
      </c>
      <c r="M76" s="181">
        <f t="shared" si="21"/>
        <v>33.61</v>
      </c>
      <c r="N76" s="182">
        <f t="shared" si="22"/>
        <v>0.63</v>
      </c>
      <c r="O76" s="183">
        <f t="shared" si="23"/>
        <v>0</v>
      </c>
      <c r="P76" s="184">
        <f t="shared" si="24"/>
        <v>0.63</v>
      </c>
      <c r="Q76" s="184">
        <f t="shared" si="25"/>
        <v>0</v>
      </c>
      <c r="R76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6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24242.5</v>
      </c>
      <c r="T76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76" s="186">
        <f ca="1">IF(Tabla336106734810[[#This Row],[Equity]]&lt;Tabla336106734810[[#This Row],[Equity Peak]],(Tabla336106734810[[#This Row],[Equity Peak]]-Tabla336106734810[[#This Row],[Equity]])/Tabla336106734810[[#This Row],[Equity Peak]],"")</f>
        <v>3.0300000000000001E-2</v>
      </c>
      <c r="V76" s="187">
        <f t="shared" si="26"/>
        <v>0</v>
      </c>
      <c r="W76" s="187">
        <f t="shared" si="27"/>
        <v>0</v>
      </c>
      <c r="X76" s="187">
        <f t="shared" si="28"/>
        <v>0</v>
      </c>
      <c r="Y76" s="187">
        <f t="shared" si="29"/>
        <v>0</v>
      </c>
      <c r="Z76" s="187">
        <f t="shared" si="30"/>
        <v>0.63</v>
      </c>
      <c r="AA76" s="183">
        <f t="shared" si="31"/>
        <v>0</v>
      </c>
      <c r="AB76" s="187">
        <f t="shared" si="32"/>
        <v>0</v>
      </c>
      <c r="AC76" s="183">
        <f t="shared" si="33"/>
        <v>0</v>
      </c>
      <c r="AD76" s="188">
        <f t="shared" si="34"/>
        <v>2.8187499999985448</v>
      </c>
      <c r="AE76" s="188">
        <f t="shared" si="35"/>
        <v>2.8187499999985448</v>
      </c>
      <c r="AF76" s="188">
        <f t="shared" si="36"/>
        <v>0</v>
      </c>
      <c r="AG76" s="188">
        <f t="shared" si="37"/>
        <v>0</v>
      </c>
    </row>
    <row r="77" spans="2:33" ht="15" customHeight="1" x14ac:dyDescent="0.15">
      <c r="B77" s="174" t="s">
        <v>5</v>
      </c>
      <c r="C77" s="175" t="s">
        <v>13</v>
      </c>
      <c r="D77" s="176" t="str">
        <f t="shared" si="19"/>
        <v>C</v>
      </c>
      <c r="E77" s="177" t="d">
        <v>2021-03-25T15:00:00.000</v>
      </c>
      <c r="F77" s="178" t="s">
        <v>80</v>
      </c>
      <c r="G77" s="179">
        <v>14461.36</v>
      </c>
      <c r="H77" s="179">
        <v>14512.79</v>
      </c>
      <c r="I77" s="180">
        <f t="shared" si="20"/>
        <v>51.430000000000291</v>
      </c>
      <c r="J77" s="179">
        <v>14084.23</v>
      </c>
      <c r="K77" s="177" t="d">
        <v>2021-03-25T17:06:00.00000012572854425</v>
      </c>
      <c r="L77" s="179">
        <v>14503.86</v>
      </c>
      <c r="M77" s="181">
        <f t="shared" si="21"/>
        <v>-42.5</v>
      </c>
      <c r="N77" s="182">
        <f t="shared" si="22"/>
        <v>-0.83</v>
      </c>
      <c r="O77" s="183">
        <f t="shared" si="23"/>
        <v>0</v>
      </c>
      <c r="P77" s="184">
        <f t="shared" si="24"/>
        <v>0</v>
      </c>
      <c r="Q77" s="184">
        <f t="shared" si="25"/>
        <v>-0.83</v>
      </c>
      <c r="R77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7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24085</v>
      </c>
      <c r="T77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77" s="186">
        <f ca="1">IF(Tabla336106734810[[#This Row],[Equity]]&lt;Tabla336106734810[[#This Row],[Equity Peak]],(Tabla336106734810[[#This Row],[Equity Peak]]-Tabla336106734810[[#This Row],[Equity]])/Tabla336106734810[[#This Row],[Equity Peak]],"")</f>
        <v>3.6600000000000001E-2</v>
      </c>
      <c r="V77" s="187">
        <f t="shared" si="26"/>
        <v>0</v>
      </c>
      <c r="W77" s="187">
        <f t="shared" si="27"/>
        <v>0</v>
      </c>
      <c r="X77" s="187">
        <f t="shared" si="28"/>
        <v>0</v>
      </c>
      <c r="Y77" s="187">
        <f t="shared" si="29"/>
        <v>0</v>
      </c>
      <c r="Z77" s="187">
        <f t="shared" si="30"/>
        <v>-0.83</v>
      </c>
      <c r="AA77" s="183">
        <f t="shared" si="31"/>
        <v>0</v>
      </c>
      <c r="AB77" s="187">
        <f t="shared" si="32"/>
        <v>0</v>
      </c>
      <c r="AC77" s="183">
        <f t="shared" si="33"/>
        <v>0</v>
      </c>
      <c r="AD77" s="188">
        <f t="shared" si="34"/>
        <v>8.7500000001455192E-2</v>
      </c>
      <c r="AE77" s="188">
        <f t="shared" si="35"/>
        <v>0</v>
      </c>
      <c r="AF77" s="188">
        <f t="shared" si="36"/>
        <v>8.7500000001455192E-2</v>
      </c>
      <c r="AG77" s="188">
        <f t="shared" si="37"/>
        <v>0</v>
      </c>
    </row>
    <row r="78" spans="2:33" ht="15" customHeight="1" x14ac:dyDescent="0.15">
      <c r="B78" s="174" t="s">
        <v>5</v>
      </c>
      <c r="C78" s="175" t="s">
        <v>15</v>
      </c>
      <c r="D78" s="176" t="str">
        <f t="shared" si="19"/>
        <v>C</v>
      </c>
      <c r="E78" s="177" t="d">
        <v>2021-03-17T20:29:59.99999979045242400</v>
      </c>
      <c r="F78" s="178" t="s">
        <v>80</v>
      </c>
      <c r="G78" s="179">
        <v>14622.44</v>
      </c>
      <c r="H78" s="179">
        <v>14583.91</v>
      </c>
      <c r="I78" s="180">
        <f t="shared" si="20"/>
        <v>38.530000000000655</v>
      </c>
      <c r="J78" s="179">
        <v>14904.96</v>
      </c>
      <c r="K78" s="177" t="d">
        <v>2021-03-18T10:54:00.00000029336660775</v>
      </c>
      <c r="L78" s="179">
        <v>14668.67</v>
      </c>
      <c r="M78" s="181">
        <f t="shared" si="21"/>
        <v>46.23</v>
      </c>
      <c r="N78" s="182">
        <f t="shared" si="22"/>
        <v>1.2</v>
      </c>
      <c r="O78" s="183">
        <f t="shared" si="23"/>
        <v>0</v>
      </c>
      <c r="P78" s="184">
        <f t="shared" si="24"/>
        <v>1.2</v>
      </c>
      <c r="Q78" s="184">
        <f t="shared" si="25"/>
        <v>0</v>
      </c>
      <c r="R78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8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24292.5</v>
      </c>
      <c r="T78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78" s="186">
        <f ca="1">IF(Tabla336106734810[[#This Row],[Equity]]&lt;Tabla336106734810[[#This Row],[Equity Peak]],(Tabla336106734810[[#This Row],[Equity Peak]]-Tabla336106734810[[#This Row],[Equity]])/Tabla336106734810[[#This Row],[Equity Peak]],"")</f>
        <v>2.8299999999999999E-2</v>
      </c>
      <c r="V78" s="187">
        <f t="shared" si="26"/>
        <v>0</v>
      </c>
      <c r="W78" s="187">
        <f t="shared" si="27"/>
        <v>0</v>
      </c>
      <c r="X78" s="187">
        <f t="shared" si="28"/>
        <v>0</v>
      </c>
      <c r="Y78" s="187">
        <f t="shared" si="29"/>
        <v>0</v>
      </c>
      <c r="Z78" s="187">
        <f t="shared" si="30"/>
        <v>1.2</v>
      </c>
      <c r="AA78" s="183">
        <f t="shared" si="31"/>
        <v>0</v>
      </c>
      <c r="AB78" s="187">
        <f t="shared" si="32"/>
        <v>0</v>
      </c>
      <c r="AC78" s="183">
        <f t="shared" si="33"/>
        <v>0</v>
      </c>
      <c r="AD78" s="188">
        <f t="shared" si="34"/>
        <v>0.60000000000582077</v>
      </c>
      <c r="AE78" s="188">
        <f t="shared" si="35"/>
        <v>0.60000000000582077</v>
      </c>
      <c r="AF78" s="188">
        <f t="shared" si="36"/>
        <v>0</v>
      </c>
      <c r="AG78" s="188">
        <f t="shared" si="37"/>
        <v>0</v>
      </c>
    </row>
    <row r="79" spans="2:33" ht="15" customHeight="1" x14ac:dyDescent="0.15">
      <c r="B79" s="174" t="s">
        <v>5</v>
      </c>
      <c r="C79" s="175" t="s">
        <v>15</v>
      </c>
      <c r="D79" s="176" t="str">
        <f t="shared" si="19"/>
        <v>C</v>
      </c>
      <c r="E79" s="177" t="d">
        <v>2021-03-08T16:44:59.99999979045242400</v>
      </c>
      <c r="F79" s="178" t="s">
        <v>80</v>
      </c>
      <c r="G79" s="179">
        <v>14253.93</v>
      </c>
      <c r="H79" s="179">
        <v>14163.95</v>
      </c>
      <c r="I79" s="180">
        <f t="shared" si="20"/>
        <v>89.979999999999563</v>
      </c>
      <c r="J79" s="179">
        <v>14913.79</v>
      </c>
      <c r="K79" s="177" t="d">
        <v>2021-03-12T10:03:59.99999994412064550</v>
      </c>
      <c r="L79" s="179">
        <v>14504.52</v>
      </c>
      <c r="M79" s="181">
        <f t="shared" si="21"/>
        <v>250.59</v>
      </c>
      <c r="N79" s="182">
        <f t="shared" si="22"/>
        <v>2.78</v>
      </c>
      <c r="O79" s="183">
        <f t="shared" si="23"/>
        <v>0</v>
      </c>
      <c r="P79" s="184">
        <f t="shared" si="24"/>
        <v>2.78</v>
      </c>
      <c r="Q79" s="184">
        <f t="shared" si="25"/>
        <v>0</v>
      </c>
      <c r="R79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79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23992.5</v>
      </c>
      <c r="T79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79" s="186">
        <f ca="1">IF(Tabla336106734810[[#This Row],[Equity]]&lt;Tabla336106734810[[#This Row],[Equity Peak]],(Tabla336106734810[[#This Row],[Equity Peak]]-Tabla336106734810[[#This Row],[Equity]])/Tabla336106734810[[#This Row],[Equity Peak]],"")</f>
        <v>4.0300000000000002E-2</v>
      </c>
      <c r="V79" s="187">
        <f t="shared" si="26"/>
        <v>0</v>
      </c>
      <c r="W79" s="187">
        <f t="shared" si="27"/>
        <v>0</v>
      </c>
      <c r="X79" s="187">
        <f t="shared" si="28"/>
        <v>0</v>
      </c>
      <c r="Y79" s="187">
        <f t="shared" si="29"/>
        <v>0</v>
      </c>
      <c r="Z79" s="187">
        <f t="shared" si="30"/>
        <v>2.78</v>
      </c>
      <c r="AA79" s="183">
        <f t="shared" si="31"/>
        <v>0</v>
      </c>
      <c r="AB79" s="187">
        <f t="shared" si="32"/>
        <v>0</v>
      </c>
      <c r="AC79" s="183">
        <f t="shared" si="33"/>
        <v>0</v>
      </c>
      <c r="AD79" s="188">
        <f t="shared" si="34"/>
        <v>3.7215277777795563</v>
      </c>
      <c r="AE79" s="188">
        <f t="shared" si="35"/>
        <v>3.7215277777795563</v>
      </c>
      <c r="AF79" s="188">
        <f t="shared" si="36"/>
        <v>0</v>
      </c>
      <c r="AG79" s="188">
        <f t="shared" si="37"/>
        <v>0</v>
      </c>
    </row>
    <row r="80" spans="2:33" ht="15" customHeight="1" x14ac:dyDescent="0.15">
      <c r="B80" s="174" t="s">
        <v>5</v>
      </c>
      <c r="C80" s="175" t="s">
        <v>15</v>
      </c>
      <c r="D80" s="176" t="str">
        <f t="shared" si="19"/>
        <v>C</v>
      </c>
      <c r="E80" s="177" t="d">
        <v>2021-03-02T13:30:00.000</v>
      </c>
      <c r="F80" s="178" t="s">
        <v>80</v>
      </c>
      <c r="G80" s="179">
        <v>14088.86</v>
      </c>
      <c r="H80" s="179">
        <v>14018.59</v>
      </c>
      <c r="I80" s="180">
        <f t="shared" si="20"/>
        <v>70.270000000000437</v>
      </c>
      <c r="J80" s="179">
        <v>14604.14</v>
      </c>
      <c r="K80" s="177" t="d">
        <v>2021-03-03T15:30:59.99999977648258200</v>
      </c>
      <c r="L80" s="179">
        <v>14091.98</v>
      </c>
      <c r="M80" s="181">
        <f t="shared" si="21"/>
        <v>3.12</v>
      </c>
      <c r="N80" s="182">
        <f t="shared" si="22"/>
        <v>0.04</v>
      </c>
      <c r="O80" s="183">
        <f t="shared" si="23"/>
        <v>0</v>
      </c>
      <c r="P80" s="184">
        <f t="shared" si="24"/>
        <v>0.04</v>
      </c>
      <c r="Q80" s="184">
        <f t="shared" si="25"/>
        <v>0</v>
      </c>
      <c r="R80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0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23297.5</v>
      </c>
      <c r="T80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80" s="186">
        <f ca="1">IF(Tabla336106734810[[#This Row],[Equity]]&lt;Tabla336106734810[[#This Row],[Equity Peak]],(Tabla336106734810[[#This Row],[Equity Peak]]-Tabla336106734810[[#This Row],[Equity]])/Tabla336106734810[[#This Row],[Equity Peak]],"")</f>
        <v>6.8099999999999994E-2</v>
      </c>
      <c r="V80" s="187">
        <f t="shared" si="26"/>
        <v>0</v>
      </c>
      <c r="W80" s="187">
        <f t="shared" si="27"/>
        <v>0</v>
      </c>
      <c r="X80" s="187">
        <f t="shared" si="28"/>
        <v>0</v>
      </c>
      <c r="Y80" s="187">
        <f t="shared" si="29"/>
        <v>0</v>
      </c>
      <c r="Z80" s="187">
        <f t="shared" si="30"/>
        <v>0.04</v>
      </c>
      <c r="AA80" s="183">
        <f t="shared" si="31"/>
        <v>0</v>
      </c>
      <c r="AB80" s="187">
        <f t="shared" si="32"/>
        <v>0</v>
      </c>
      <c r="AC80" s="183">
        <f t="shared" si="33"/>
        <v>0</v>
      </c>
      <c r="AD80" s="188">
        <f t="shared" si="34"/>
        <v>1.0840277777751908</v>
      </c>
      <c r="AE80" s="188">
        <f t="shared" si="35"/>
        <v>1.0840277777751908</v>
      </c>
      <c r="AF80" s="188">
        <f t="shared" si="36"/>
        <v>0</v>
      </c>
      <c r="AG80" s="188">
        <f t="shared" si="37"/>
        <v>0</v>
      </c>
    </row>
    <row r="81" spans="2:33" ht="15" customHeight="1" x14ac:dyDescent="0.15">
      <c r="B81" s="174" t="s">
        <v>5</v>
      </c>
      <c r="C81" s="175" t="s">
        <v>15</v>
      </c>
      <c r="D81" s="176" t="str">
        <f t="shared" ref="D81:D97" si="38">IF(E81&lt;&gt;"",IF(K81&lt;&gt;"","C","O"),"")</f>
        <v>C</v>
      </c>
      <c r="E81" s="177" t="d">
        <v>2021-02-25T03:30:00.00000020954757600</v>
      </c>
      <c r="F81" s="178" t="s">
        <v>80</v>
      </c>
      <c r="G81" s="179">
        <v>14040.26</v>
      </c>
      <c r="H81" s="179">
        <v>13961.1</v>
      </c>
      <c r="I81" s="180">
        <f t="shared" ref="I81:I97" si="39">ABS(G81-H81)</f>
        <v>79.159999999999854</v>
      </c>
      <c r="J81" s="179">
        <v>14620.8</v>
      </c>
      <c r="K81" s="177" t="d">
        <v>2021-02-25T10:38:59.99999987427145575</v>
      </c>
      <c r="L81" s="179">
        <v>13961.1</v>
      </c>
      <c r="M81" s="181">
        <f t="shared" ref="M81:M97" si="40">ROUND(IF(C81="L",(L81-G81),(G81-L81)),4)</f>
        <v>-79.16</v>
      </c>
      <c r="N81" s="182">
        <f t="shared" ref="N81:N97" si="41">IFERROR(ROUND((M81/I81),2),"")</f>
        <v>-1</v>
      </c>
      <c r="O81" s="183">
        <f t="shared" ref="O81:O97" si="42">IF(D81="O",IF(N81&lt;0,N81,0),0)</f>
        <v>0</v>
      </c>
      <c r="P81" s="184">
        <f t="shared" ref="P81:P97" si="43">IF(N81&gt;= 0,N81,0)</f>
        <v>0</v>
      </c>
      <c r="Q81" s="184">
        <f t="shared" ref="Q81:Q97" si="44">IF(N81&lt;0,N81,0)</f>
        <v>-1</v>
      </c>
      <c r="R81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1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23287.5</v>
      </c>
      <c r="T81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81" s="186">
        <f ca="1">IF(Tabla336106734810[[#This Row],[Equity]]&lt;Tabla336106734810[[#This Row],[Equity Peak]],(Tabla336106734810[[#This Row],[Equity Peak]]-Tabla336106734810[[#This Row],[Equity]])/Tabla336106734810[[#This Row],[Equity Peak]],"")</f>
        <v>6.8500000000000005E-2</v>
      </c>
      <c r="V81" s="187">
        <f t="shared" ref="V81:V97" si="45">IF(B81="FX",N81,0)</f>
        <v>0</v>
      </c>
      <c r="W81" s="187">
        <f t="shared" ref="W81:W97" si="46">IF(D81="O",IF(V81&lt;0,V81,0),0)</f>
        <v>0</v>
      </c>
      <c r="X81" s="187">
        <f t="shared" ref="X81:X97" si="47">IF(B81="COM",N81,0)</f>
        <v>0</v>
      </c>
      <c r="Y81" s="187">
        <f t="shared" ref="Y81:Y97" si="48">IF(D81="O",IF(X81&lt;0,X81,0),0)</f>
        <v>0</v>
      </c>
      <c r="Z81" s="187">
        <f t="shared" ref="Z81:Z97" si="49">IF(B81="IND",N81,0)</f>
        <v>-1</v>
      </c>
      <c r="AA81" s="183">
        <f t="shared" ref="AA81:AA97" si="50">IF(D81="O",IF(Z81&lt;0,Z81,0),0)</f>
        <v>0</v>
      </c>
      <c r="AB81" s="187">
        <f t="shared" ref="AB81:AB97" si="51">IF(B81="CRYPTO",N81,0)</f>
        <v>0</v>
      </c>
      <c r="AC81" s="183">
        <f t="shared" ref="AC81:AC97" si="52">IF(D81="O",IF(AB81&lt;0,AB81,0),0)</f>
        <v>0</v>
      </c>
      <c r="AD81" s="188">
        <f t="shared" ref="AD81:AD97" si="53">IF(K81&lt;&gt;"",K81-E81,0)</f>
        <v>0.29791666666278616</v>
      </c>
      <c r="AE81" s="188">
        <f t="shared" ref="AE81:AE97" si="54">IF(N81&gt;0,AD81,0)</f>
        <v>0</v>
      </c>
      <c r="AF81" s="188">
        <f t="shared" ref="AF81:AF97" si="55">IF(N81&lt;0,AD81,0)</f>
        <v>0.29791666666278616</v>
      </c>
      <c r="AG81" s="188">
        <f t="shared" ref="AG81:AG97" si="56">IF(N81=0,AD81,0)</f>
        <v>0</v>
      </c>
    </row>
    <row r="82" spans="2:33" ht="15" customHeight="1" x14ac:dyDescent="0.15">
      <c r="B82" s="174" t="s">
        <v>5</v>
      </c>
      <c r="C82" s="175" t="s">
        <v>13</v>
      </c>
      <c r="D82" s="176" t="str">
        <f t="shared" si="38"/>
        <v>C</v>
      </c>
      <c r="E82" s="177" t="d">
        <v>2021-02-23T11:29:59.99999979045242400</v>
      </c>
      <c r="F82" s="178" t="s">
        <v>80</v>
      </c>
      <c r="G82" s="179">
        <v>13765.5</v>
      </c>
      <c r="H82" s="179">
        <v>13824.43</v>
      </c>
      <c r="I82" s="180">
        <f t="shared" si="39"/>
        <v>58.930000000000291</v>
      </c>
      <c r="J82" s="179">
        <v>13333.36</v>
      </c>
      <c r="K82" s="177" t="d">
        <v>2021-02-23T13:24:00.00000008381903175</v>
      </c>
      <c r="L82" s="179">
        <v>13773.23</v>
      </c>
      <c r="M82" s="181">
        <f t="shared" si="40"/>
        <v>-7.73</v>
      </c>
      <c r="N82" s="182">
        <f t="shared" si="41"/>
        <v>-0.13</v>
      </c>
      <c r="O82" s="183">
        <f t="shared" si="42"/>
        <v>0</v>
      </c>
      <c r="P82" s="184">
        <f t="shared" si="43"/>
        <v>0</v>
      </c>
      <c r="Q82" s="184">
        <f t="shared" si="44"/>
        <v>-0.13</v>
      </c>
      <c r="R82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2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23537.5</v>
      </c>
      <c r="T82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82" s="186">
        <f ca="1">IF(Tabla336106734810[[#This Row],[Equity]]&lt;Tabla336106734810[[#This Row],[Equity Peak]],(Tabla336106734810[[#This Row],[Equity Peak]]-Tabla336106734810[[#This Row],[Equity]])/Tabla336106734810[[#This Row],[Equity Peak]],"")</f>
        <v>5.8500000000000003E-2</v>
      </c>
      <c r="V82" s="187">
        <f t="shared" si="45"/>
        <v>0</v>
      </c>
      <c r="W82" s="187">
        <f t="shared" si="46"/>
        <v>0</v>
      </c>
      <c r="X82" s="187">
        <f t="shared" si="47"/>
        <v>0</v>
      </c>
      <c r="Y82" s="187">
        <f t="shared" si="48"/>
        <v>0</v>
      </c>
      <c r="Z82" s="187">
        <f t="shared" si="49"/>
        <v>-0.13</v>
      </c>
      <c r="AA82" s="183">
        <f t="shared" si="50"/>
        <v>0</v>
      </c>
      <c r="AB82" s="187">
        <f t="shared" si="51"/>
        <v>0</v>
      </c>
      <c r="AC82" s="183">
        <f t="shared" si="52"/>
        <v>0</v>
      </c>
      <c r="AD82" s="188">
        <f t="shared" si="53"/>
        <v>7.9166666670062114E-2</v>
      </c>
      <c r="AE82" s="188">
        <f t="shared" si="54"/>
        <v>0</v>
      </c>
      <c r="AF82" s="188">
        <f t="shared" si="55"/>
        <v>7.9166666670062114E-2</v>
      </c>
      <c r="AG82" s="188">
        <f t="shared" si="56"/>
        <v>0</v>
      </c>
    </row>
    <row r="83" spans="2:33" ht="15" customHeight="1" x14ac:dyDescent="0.15">
      <c r="B83" s="174" t="s">
        <v>5</v>
      </c>
      <c r="C83" s="175" t="s">
        <v>13</v>
      </c>
      <c r="D83" s="176" t="str">
        <f t="shared" si="38"/>
        <v>C</v>
      </c>
      <c r="E83" s="177" t="d">
        <v>2021-02-22T10:30:00.000</v>
      </c>
      <c r="F83" s="178" t="s">
        <v>80</v>
      </c>
      <c r="G83" s="179">
        <v>13813.73</v>
      </c>
      <c r="H83" s="179">
        <v>13867.25</v>
      </c>
      <c r="I83" s="180">
        <f t="shared" si="39"/>
        <v>53.520000000000437</v>
      </c>
      <c r="J83" s="179">
        <v>13421.28</v>
      </c>
      <c r="K83" s="177" t="d">
        <v>2021-02-22T11:06:59.99999969266355025</v>
      </c>
      <c r="L83" s="179">
        <v>13867.25</v>
      </c>
      <c r="M83" s="181">
        <f t="shared" si="40"/>
        <v>-53.52</v>
      </c>
      <c r="N83" s="182">
        <f t="shared" si="41"/>
        <v>-1</v>
      </c>
      <c r="O83" s="183">
        <f t="shared" si="42"/>
        <v>0</v>
      </c>
      <c r="P83" s="184">
        <f t="shared" si="43"/>
        <v>0</v>
      </c>
      <c r="Q83" s="184">
        <f t="shared" si="44"/>
        <v>-1</v>
      </c>
      <c r="R83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3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23570</v>
      </c>
      <c r="T83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83" s="186">
        <f ca="1">IF(Tabla336106734810[[#This Row],[Equity]]&lt;Tabla336106734810[[#This Row],[Equity Peak]],(Tabla336106734810[[#This Row],[Equity Peak]]-Tabla336106734810[[#This Row],[Equity]])/Tabla336106734810[[#This Row],[Equity Peak]],"")</f>
        <v>5.7200000000000001E-2</v>
      </c>
      <c r="V83" s="187">
        <f t="shared" si="45"/>
        <v>0</v>
      </c>
      <c r="W83" s="187">
        <f t="shared" si="46"/>
        <v>0</v>
      </c>
      <c r="X83" s="187">
        <f t="shared" si="47"/>
        <v>0</v>
      </c>
      <c r="Y83" s="187">
        <f t="shared" si="48"/>
        <v>0</v>
      </c>
      <c r="Z83" s="187">
        <f t="shared" si="49"/>
        <v>-1</v>
      </c>
      <c r="AA83" s="183">
        <f t="shared" si="50"/>
        <v>0</v>
      </c>
      <c r="AB83" s="187">
        <f t="shared" si="51"/>
        <v>0</v>
      </c>
      <c r="AC83" s="183">
        <f t="shared" si="52"/>
        <v>0</v>
      </c>
      <c r="AD83" s="188">
        <f t="shared" si="53"/>
        <v>2.569444444088731E-2</v>
      </c>
      <c r="AE83" s="188">
        <f t="shared" si="54"/>
        <v>0</v>
      </c>
      <c r="AF83" s="188">
        <f t="shared" si="55"/>
        <v>2.569444444088731E-2</v>
      </c>
      <c r="AG83" s="188">
        <f t="shared" si="56"/>
        <v>0</v>
      </c>
    </row>
    <row r="84" spans="2:33" ht="15" customHeight="1" x14ac:dyDescent="0.15">
      <c r="B84" s="174" t="s">
        <v>5</v>
      </c>
      <c r="C84" s="175" t="s">
        <v>13</v>
      </c>
      <c r="D84" s="176" t="str">
        <f t="shared" si="38"/>
        <v>C</v>
      </c>
      <c r="E84" s="177" t="d">
        <v>2021-02-17T18:14:59.99999979045242400</v>
      </c>
      <c r="F84" s="178" t="s">
        <v>80</v>
      </c>
      <c r="G84" s="179">
        <v>13905.36</v>
      </c>
      <c r="H84" s="179">
        <v>13960.78</v>
      </c>
      <c r="I84" s="180">
        <f t="shared" si="39"/>
        <v>55.420000000000073</v>
      </c>
      <c r="J84" s="179">
        <v>13498.97</v>
      </c>
      <c r="K84" s="177" t="d">
        <v>2021-02-17T22:21:59.99999969266355025</v>
      </c>
      <c r="L84" s="179">
        <v>13960.78</v>
      </c>
      <c r="M84" s="181">
        <f t="shared" si="40"/>
        <v>-55.42</v>
      </c>
      <c r="N84" s="182">
        <f t="shared" si="41"/>
        <v>-1</v>
      </c>
      <c r="O84" s="183">
        <f t="shared" si="42"/>
        <v>0</v>
      </c>
      <c r="P84" s="184">
        <f t="shared" si="43"/>
        <v>0</v>
      </c>
      <c r="Q84" s="184">
        <f t="shared" si="44"/>
        <v>-1</v>
      </c>
      <c r="R84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4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23820</v>
      </c>
      <c r="T84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84" s="186">
        <f ca="1">IF(Tabla336106734810[[#This Row],[Equity]]&lt;Tabla336106734810[[#This Row],[Equity Peak]],(Tabla336106734810[[#This Row],[Equity Peak]]-Tabla336106734810[[#This Row],[Equity]])/Tabla336106734810[[#This Row],[Equity Peak]],"")</f>
        <v>4.7199999999999999E-2</v>
      </c>
      <c r="V84" s="187">
        <f t="shared" si="45"/>
        <v>0</v>
      </c>
      <c r="W84" s="187">
        <f t="shared" si="46"/>
        <v>0</v>
      </c>
      <c r="X84" s="187">
        <f t="shared" si="47"/>
        <v>0</v>
      </c>
      <c r="Y84" s="187">
        <f t="shared" si="48"/>
        <v>0</v>
      </c>
      <c r="Z84" s="187">
        <f t="shared" si="49"/>
        <v>-1</v>
      </c>
      <c r="AA84" s="183">
        <f t="shared" si="50"/>
        <v>0</v>
      </c>
      <c r="AB84" s="187">
        <f t="shared" si="51"/>
        <v>0</v>
      </c>
      <c r="AC84" s="183">
        <f t="shared" si="52"/>
        <v>0</v>
      </c>
      <c r="AD84" s="188">
        <f t="shared" si="53"/>
        <v>0.17152777777664596</v>
      </c>
      <c r="AE84" s="188">
        <f t="shared" si="54"/>
        <v>0</v>
      </c>
      <c r="AF84" s="188">
        <f t="shared" si="55"/>
        <v>0.17152777777664596</v>
      </c>
      <c r="AG84" s="188">
        <f t="shared" si="56"/>
        <v>0</v>
      </c>
    </row>
    <row r="85" spans="2:33" ht="15" customHeight="1" x14ac:dyDescent="0.15">
      <c r="B85" s="174" t="s">
        <v>5</v>
      </c>
      <c r="C85" s="175" t="s">
        <v>15</v>
      </c>
      <c r="D85" s="176" t="str">
        <f t="shared" si="38"/>
        <v>C</v>
      </c>
      <c r="E85" s="177" t="d">
        <v>2021-02-15T01:15:00.00000020954757600</v>
      </c>
      <c r="F85" s="178" t="s">
        <v>80</v>
      </c>
      <c r="G85" s="179">
        <v>14099.08</v>
      </c>
      <c r="H85" s="179">
        <v>14055.55</v>
      </c>
      <c r="I85" s="180">
        <f t="shared" si="39"/>
        <v>43.530000000000655</v>
      </c>
      <c r="J85" s="179">
        <v>14418.27</v>
      </c>
      <c r="K85" s="177" t="d">
        <v>2021-02-15T10:09:00.00000029336660775</v>
      </c>
      <c r="L85" s="179">
        <v>14095.38</v>
      </c>
      <c r="M85" s="181">
        <f t="shared" si="40"/>
        <v>-3.7</v>
      </c>
      <c r="N85" s="182">
        <f t="shared" si="41"/>
        <v>-0.08</v>
      </c>
      <c r="O85" s="183">
        <f t="shared" si="42"/>
        <v>0</v>
      </c>
      <c r="P85" s="184">
        <f t="shared" si="43"/>
        <v>0</v>
      </c>
      <c r="Q85" s="184">
        <f t="shared" si="44"/>
        <v>-0.08</v>
      </c>
      <c r="R85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5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24070</v>
      </c>
      <c r="T85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85" s="186">
        <f ca="1">IF(Tabla336106734810[[#This Row],[Equity]]&lt;Tabla336106734810[[#This Row],[Equity Peak]],(Tabla336106734810[[#This Row],[Equity Peak]]-Tabla336106734810[[#This Row],[Equity]])/Tabla336106734810[[#This Row],[Equity Peak]],"")</f>
        <v>3.7199999999999997E-2</v>
      </c>
      <c r="V85" s="187">
        <f t="shared" si="45"/>
        <v>0</v>
      </c>
      <c r="W85" s="187">
        <f t="shared" si="46"/>
        <v>0</v>
      </c>
      <c r="X85" s="187">
        <f t="shared" si="47"/>
        <v>0</v>
      </c>
      <c r="Y85" s="187">
        <f t="shared" si="48"/>
        <v>0</v>
      </c>
      <c r="Z85" s="187">
        <f t="shared" si="49"/>
        <v>-0.08</v>
      </c>
      <c r="AA85" s="183">
        <f t="shared" si="50"/>
        <v>0</v>
      </c>
      <c r="AB85" s="187">
        <f t="shared" si="51"/>
        <v>0</v>
      </c>
      <c r="AC85" s="183">
        <f t="shared" si="52"/>
        <v>0</v>
      </c>
      <c r="AD85" s="188">
        <f t="shared" si="53"/>
        <v>0.37083333333430346</v>
      </c>
      <c r="AE85" s="188">
        <f t="shared" si="54"/>
        <v>0</v>
      </c>
      <c r="AF85" s="188">
        <f t="shared" si="55"/>
        <v>0.37083333333430346</v>
      </c>
      <c r="AG85" s="188">
        <f t="shared" si="56"/>
        <v>0</v>
      </c>
    </row>
    <row r="86" spans="2:33" ht="15" customHeight="1" x14ac:dyDescent="0.15">
      <c r="B86" s="174" t="s">
        <v>5</v>
      </c>
      <c r="C86" s="175" t="s">
        <v>13</v>
      </c>
      <c r="D86" s="176" t="str">
        <f t="shared" si="38"/>
        <v>C</v>
      </c>
      <c r="E86" s="177" t="d">
        <v>2021-02-10T17:45:00.00000020954757600</v>
      </c>
      <c r="F86" s="178" t="s">
        <v>80</v>
      </c>
      <c r="G86" s="179">
        <v>13857.67</v>
      </c>
      <c r="H86" s="179">
        <v>13904.43</v>
      </c>
      <c r="I86" s="180">
        <f t="shared" si="39"/>
        <v>46.760000000000218</v>
      </c>
      <c r="J86" s="179">
        <v>13514.76</v>
      </c>
      <c r="K86" s="177" t="d">
        <v>2021-02-10T17:51:00.00000012572854425</v>
      </c>
      <c r="L86" s="179">
        <v>13904.43</v>
      </c>
      <c r="M86" s="181">
        <f t="shared" si="40"/>
        <v>-46.76</v>
      </c>
      <c r="N86" s="182">
        <f t="shared" si="41"/>
        <v>-1</v>
      </c>
      <c r="O86" s="183">
        <f t="shared" si="42"/>
        <v>0</v>
      </c>
      <c r="P86" s="184">
        <f t="shared" si="43"/>
        <v>0</v>
      </c>
      <c r="Q86" s="184">
        <f t="shared" si="44"/>
        <v>-1</v>
      </c>
      <c r="R86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6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24090</v>
      </c>
      <c r="T86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86" s="186">
        <f ca="1">IF(Tabla336106734810[[#This Row],[Equity]]&lt;Tabla336106734810[[#This Row],[Equity Peak]],(Tabla336106734810[[#This Row],[Equity Peak]]-Tabla336106734810[[#This Row],[Equity]])/Tabla336106734810[[#This Row],[Equity Peak]],"")</f>
        <v>3.6400000000000002E-2</v>
      </c>
      <c r="V86" s="187">
        <f t="shared" si="45"/>
        <v>0</v>
      </c>
      <c r="W86" s="187">
        <f t="shared" si="46"/>
        <v>0</v>
      </c>
      <c r="X86" s="187">
        <f t="shared" si="47"/>
        <v>0</v>
      </c>
      <c r="Y86" s="187">
        <f t="shared" si="48"/>
        <v>0</v>
      </c>
      <c r="Z86" s="187">
        <f t="shared" si="49"/>
        <v>-1</v>
      </c>
      <c r="AA86" s="183">
        <f t="shared" si="50"/>
        <v>0</v>
      </c>
      <c r="AB86" s="187">
        <f t="shared" si="51"/>
        <v>0</v>
      </c>
      <c r="AC86" s="183">
        <f t="shared" si="52"/>
        <v>0</v>
      </c>
      <c r="AD86" s="188">
        <f t="shared" si="53"/>
        <v>4.166666665696539E-3</v>
      </c>
      <c r="AE86" s="188">
        <f t="shared" si="54"/>
        <v>0</v>
      </c>
      <c r="AF86" s="188">
        <f t="shared" si="55"/>
        <v>4.166666665696539E-3</v>
      </c>
      <c r="AG86" s="188">
        <f t="shared" si="56"/>
        <v>0</v>
      </c>
    </row>
    <row r="87" spans="2:33" ht="15" customHeight="1" x14ac:dyDescent="0.15">
      <c r="B87" s="174" t="s">
        <v>5</v>
      </c>
      <c r="C87" s="175" t="s">
        <v>15</v>
      </c>
      <c r="D87" s="176" t="str">
        <f t="shared" si="38"/>
        <v>C</v>
      </c>
      <c r="E87" s="177" t="d">
        <v>2021-02-02T10:15:00.00000020954757600</v>
      </c>
      <c r="F87" s="178" t="s">
        <v>80</v>
      </c>
      <c r="G87" s="179">
        <v>13742.02</v>
      </c>
      <c r="H87" s="179">
        <v>13667.37</v>
      </c>
      <c r="I87" s="180">
        <f t="shared" si="39"/>
        <v>74.649999999999636</v>
      </c>
      <c r="J87" s="179">
        <v>14289.46</v>
      </c>
      <c r="K87" s="177" t="d">
        <v>2021-02-05T17:09:00.00000008381903175</v>
      </c>
      <c r="L87" s="179">
        <v>14030.43</v>
      </c>
      <c r="M87" s="181">
        <f t="shared" si="40"/>
        <v>288.41000000000003</v>
      </c>
      <c r="N87" s="182">
        <f t="shared" si="41"/>
        <v>3.86</v>
      </c>
      <c r="O87" s="183">
        <f t="shared" si="42"/>
        <v>0</v>
      </c>
      <c r="P87" s="184">
        <f t="shared" si="43"/>
        <v>3.86</v>
      </c>
      <c r="Q87" s="184">
        <f t="shared" si="44"/>
        <v>0</v>
      </c>
      <c r="R87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7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24340</v>
      </c>
      <c r="T87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87" s="186">
        <f ca="1">IF(Tabla336106734810[[#This Row],[Equity]]&lt;Tabla336106734810[[#This Row],[Equity Peak]],(Tabla336106734810[[#This Row],[Equity Peak]]-Tabla336106734810[[#This Row],[Equity]])/Tabla336106734810[[#This Row],[Equity Peak]],"")</f>
        <v>2.64E-2</v>
      </c>
      <c r="V87" s="187">
        <f t="shared" si="45"/>
        <v>0</v>
      </c>
      <c r="W87" s="187">
        <f t="shared" si="46"/>
        <v>0</v>
      </c>
      <c r="X87" s="187">
        <f t="shared" si="47"/>
        <v>0</v>
      </c>
      <c r="Y87" s="187">
        <f t="shared" si="48"/>
        <v>0</v>
      </c>
      <c r="Z87" s="187">
        <f t="shared" si="49"/>
        <v>3.86</v>
      </c>
      <c r="AA87" s="183">
        <f t="shared" si="50"/>
        <v>0</v>
      </c>
      <c r="AB87" s="187">
        <f t="shared" si="51"/>
        <v>0</v>
      </c>
      <c r="AC87" s="183">
        <f t="shared" si="52"/>
        <v>0</v>
      </c>
      <c r="AD87" s="188">
        <f t="shared" si="53"/>
        <v>3.2874999999985448</v>
      </c>
      <c r="AE87" s="188">
        <f t="shared" si="54"/>
        <v>3.2874999999985448</v>
      </c>
      <c r="AF87" s="188">
        <f t="shared" si="55"/>
        <v>0</v>
      </c>
      <c r="AG87" s="188">
        <f t="shared" si="56"/>
        <v>0</v>
      </c>
    </row>
    <row r="88" spans="2:33" ht="15" customHeight="1" x14ac:dyDescent="0.15">
      <c r="B88" s="174" t="s">
        <v>5</v>
      </c>
      <c r="C88" s="175" t="s">
        <v>13</v>
      </c>
      <c r="D88" s="176" t="str">
        <f t="shared" si="38"/>
        <v>C</v>
      </c>
      <c r="E88" s="177" t="d">
        <v>2021-01-28T10:44:59.99999979045242400</v>
      </c>
      <c r="F88" s="178" t="s">
        <v>80</v>
      </c>
      <c r="G88" s="179">
        <v>13380.36</v>
      </c>
      <c r="H88" s="179">
        <v>13474.22</v>
      </c>
      <c r="I88" s="180">
        <f t="shared" si="39"/>
        <v>93.859999999998763</v>
      </c>
      <c r="J88" s="179">
        <v>12692.03</v>
      </c>
      <c r="K88" s="177" t="d">
        <v>2021-01-28T12:21:59.99999990221113300</v>
      </c>
      <c r="L88" s="179">
        <v>13474.22</v>
      </c>
      <c r="M88" s="181">
        <f t="shared" si="40"/>
        <v>-93.86</v>
      </c>
      <c r="N88" s="182">
        <f t="shared" si="41"/>
        <v>-1</v>
      </c>
      <c r="O88" s="183">
        <f t="shared" si="42"/>
        <v>0</v>
      </c>
      <c r="P88" s="184">
        <f t="shared" si="43"/>
        <v>0</v>
      </c>
      <c r="Q88" s="184">
        <f t="shared" si="44"/>
        <v>-1</v>
      </c>
      <c r="R88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8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23375</v>
      </c>
      <c r="T88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88" s="186">
        <f ca="1">IF(Tabla336106734810[[#This Row],[Equity]]&lt;Tabla336106734810[[#This Row],[Equity Peak]],(Tabla336106734810[[#This Row],[Equity Peak]]-Tabla336106734810[[#This Row],[Equity]])/Tabla336106734810[[#This Row],[Equity Peak]],"")</f>
        <v>6.5000000000000002E-2</v>
      </c>
      <c r="V88" s="187">
        <f t="shared" si="45"/>
        <v>0</v>
      </c>
      <c r="W88" s="187">
        <f t="shared" si="46"/>
        <v>0</v>
      </c>
      <c r="X88" s="187">
        <f t="shared" si="47"/>
        <v>0</v>
      </c>
      <c r="Y88" s="187">
        <f t="shared" si="48"/>
        <v>0</v>
      </c>
      <c r="Z88" s="187">
        <f t="shared" si="49"/>
        <v>-1</v>
      </c>
      <c r="AA88" s="183">
        <f t="shared" si="50"/>
        <v>0</v>
      </c>
      <c r="AB88" s="187">
        <f t="shared" si="51"/>
        <v>0</v>
      </c>
      <c r="AC88" s="183">
        <f t="shared" si="52"/>
        <v>0</v>
      </c>
      <c r="AD88" s="188">
        <f t="shared" si="53"/>
        <v>6.7361111112404615E-2</v>
      </c>
      <c r="AE88" s="188">
        <f t="shared" si="54"/>
        <v>0</v>
      </c>
      <c r="AF88" s="188">
        <f t="shared" si="55"/>
        <v>6.7361111112404615E-2</v>
      </c>
      <c r="AG88" s="188">
        <f t="shared" si="56"/>
        <v>0</v>
      </c>
    </row>
    <row r="89" spans="2:33" ht="15" customHeight="1" x14ac:dyDescent="0.15">
      <c r="B89" s="174" t="s">
        <v>5</v>
      </c>
      <c r="C89" s="175" t="s">
        <v>13</v>
      </c>
      <c r="D89" s="176" t="str">
        <f t="shared" si="38"/>
        <v>C</v>
      </c>
      <c r="E89" s="177" t="d">
        <v>2021-01-27T23:15:00.000</v>
      </c>
      <c r="F89" s="178" t="s">
        <v>80</v>
      </c>
      <c r="G89" s="179">
        <v>13417.61</v>
      </c>
      <c r="H89" s="179">
        <v>13502.23</v>
      </c>
      <c r="I89" s="180">
        <f t="shared" si="39"/>
        <v>84.619999999998981</v>
      </c>
      <c r="J89" s="179">
        <v>12797.06</v>
      </c>
      <c r="K89" s="177" t="d">
        <v>2021-01-27T23:39:00.00000029336660775</v>
      </c>
      <c r="L89" s="179">
        <v>13502.23</v>
      </c>
      <c r="M89" s="181">
        <f t="shared" si="40"/>
        <v>-84.62</v>
      </c>
      <c r="N89" s="182">
        <f t="shared" si="41"/>
        <v>-1</v>
      </c>
      <c r="O89" s="183">
        <f t="shared" si="42"/>
        <v>0</v>
      </c>
      <c r="P89" s="184">
        <f t="shared" si="43"/>
        <v>0</v>
      </c>
      <c r="Q89" s="184">
        <f t="shared" si="44"/>
        <v>-1</v>
      </c>
      <c r="R89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89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23625</v>
      </c>
      <c r="T89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89" s="186">
        <f ca="1">IF(Tabla336106734810[[#This Row],[Equity]]&lt;Tabla336106734810[[#This Row],[Equity Peak]],(Tabla336106734810[[#This Row],[Equity Peak]]-Tabla336106734810[[#This Row],[Equity]])/Tabla336106734810[[#This Row],[Equity Peak]],"")</f>
        <v>5.5E-2</v>
      </c>
      <c r="V89" s="187">
        <f t="shared" si="45"/>
        <v>0</v>
      </c>
      <c r="W89" s="187">
        <f t="shared" si="46"/>
        <v>0</v>
      </c>
      <c r="X89" s="187">
        <f t="shared" si="47"/>
        <v>0</v>
      </c>
      <c r="Y89" s="187">
        <f t="shared" si="48"/>
        <v>0</v>
      </c>
      <c r="Z89" s="187">
        <f t="shared" si="49"/>
        <v>-1</v>
      </c>
      <c r="AA89" s="183">
        <f t="shared" si="50"/>
        <v>0</v>
      </c>
      <c r="AB89" s="187">
        <f t="shared" si="51"/>
        <v>0</v>
      </c>
      <c r="AC89" s="183">
        <f t="shared" si="52"/>
        <v>0</v>
      </c>
      <c r="AD89" s="188">
        <f t="shared" si="53"/>
        <v>1.6666666670062114E-2</v>
      </c>
      <c r="AE89" s="188">
        <f t="shared" si="54"/>
        <v>0</v>
      </c>
      <c r="AF89" s="188">
        <f t="shared" si="55"/>
        <v>1.6666666670062114E-2</v>
      </c>
      <c r="AG89" s="188">
        <f t="shared" si="56"/>
        <v>0</v>
      </c>
    </row>
    <row r="90" spans="2:33" ht="15" customHeight="1" x14ac:dyDescent="0.15">
      <c r="B90" s="174" t="s">
        <v>5</v>
      </c>
      <c r="C90" s="175" t="s">
        <v>13</v>
      </c>
      <c r="D90" s="176" t="str">
        <f t="shared" si="38"/>
        <v>C</v>
      </c>
      <c r="E90" s="177" t="d">
        <v>2021-01-27T16:15:00.00000020954757600</v>
      </c>
      <c r="F90" s="178" t="s">
        <v>80</v>
      </c>
      <c r="G90" s="179">
        <v>13537.15</v>
      </c>
      <c r="H90" s="179">
        <v>13603.16</v>
      </c>
      <c r="I90" s="180">
        <f t="shared" si="39"/>
        <v>66.010000000000218</v>
      </c>
      <c r="J90" s="179">
        <v>13053.06</v>
      </c>
      <c r="K90" s="177" t="d">
        <v>2021-01-27T17:22:00.00000011175870900</v>
      </c>
      <c r="L90" s="179">
        <v>13603.16</v>
      </c>
      <c r="M90" s="181">
        <f t="shared" si="40"/>
        <v>-66.010000000000005</v>
      </c>
      <c r="N90" s="182">
        <f t="shared" si="41"/>
        <v>-1</v>
      </c>
      <c r="O90" s="183">
        <f t="shared" si="42"/>
        <v>0</v>
      </c>
      <c r="P90" s="184">
        <f t="shared" si="43"/>
        <v>0</v>
      </c>
      <c r="Q90" s="184">
        <f t="shared" si="44"/>
        <v>-1</v>
      </c>
      <c r="R90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0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23875</v>
      </c>
      <c r="T90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90" s="186">
        <f ca="1">IF(Tabla336106734810[[#This Row],[Equity]]&lt;Tabla336106734810[[#This Row],[Equity Peak]],(Tabla336106734810[[#This Row],[Equity Peak]]-Tabla336106734810[[#This Row],[Equity]])/Tabla336106734810[[#This Row],[Equity Peak]],"")</f>
        <v>4.4999999999999998E-2</v>
      </c>
      <c r="V90" s="187">
        <f t="shared" si="45"/>
        <v>0</v>
      </c>
      <c r="W90" s="187">
        <f t="shared" si="46"/>
        <v>0</v>
      </c>
      <c r="X90" s="187">
        <f t="shared" si="47"/>
        <v>0</v>
      </c>
      <c r="Y90" s="187">
        <f t="shared" si="48"/>
        <v>0</v>
      </c>
      <c r="Z90" s="187">
        <f t="shared" si="49"/>
        <v>-1</v>
      </c>
      <c r="AA90" s="183">
        <f t="shared" si="50"/>
        <v>0</v>
      </c>
      <c r="AB90" s="187">
        <f t="shared" si="51"/>
        <v>0</v>
      </c>
      <c r="AC90" s="183">
        <f t="shared" si="52"/>
        <v>0</v>
      </c>
      <c r="AD90" s="188">
        <f t="shared" si="53"/>
        <v>4.6527777776645962E-2</v>
      </c>
      <c r="AE90" s="188">
        <f t="shared" si="54"/>
        <v>0</v>
      </c>
      <c r="AF90" s="188">
        <f t="shared" si="55"/>
        <v>4.6527777776645962E-2</v>
      </c>
      <c r="AG90" s="188">
        <f t="shared" si="56"/>
        <v>0</v>
      </c>
    </row>
    <row r="91" spans="2:33" ht="15" customHeight="1" x14ac:dyDescent="0.15">
      <c r="B91" s="174" t="s">
        <v>5</v>
      </c>
      <c r="C91" s="175" t="s">
        <v>13</v>
      </c>
      <c r="D91" s="176" t="str">
        <f t="shared" si="38"/>
        <v>C</v>
      </c>
      <c r="E91" s="177" t="d">
        <v>2021-01-25T14:29:59.99999979045242400</v>
      </c>
      <c r="F91" s="178" t="s">
        <v>80</v>
      </c>
      <c r="G91" s="179">
        <v>13734.98</v>
      </c>
      <c r="H91" s="179">
        <v>13792.98</v>
      </c>
      <c r="I91" s="180">
        <f t="shared" si="39"/>
        <v>58</v>
      </c>
      <c r="J91" s="179">
        <v>13309.62</v>
      </c>
      <c r="K91" s="177" t="d">
        <v>2021-01-25T17:19:00.00000015366822150</v>
      </c>
      <c r="L91" s="179">
        <v>13734.5</v>
      </c>
      <c r="M91" s="181">
        <f t="shared" si="40"/>
        <v>0.48</v>
      </c>
      <c r="N91" s="182">
        <f t="shared" si="41"/>
        <v>0.01</v>
      </c>
      <c r="O91" s="183">
        <f t="shared" si="42"/>
        <v>0</v>
      </c>
      <c r="P91" s="184">
        <f t="shared" si="43"/>
        <v>0.01</v>
      </c>
      <c r="Q91" s="184">
        <f t="shared" si="44"/>
        <v>0</v>
      </c>
      <c r="R91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1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24125</v>
      </c>
      <c r="T91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91" s="186">
        <f ca="1">IF(Tabla336106734810[[#This Row],[Equity]]&lt;Tabla336106734810[[#This Row],[Equity Peak]],(Tabla336106734810[[#This Row],[Equity Peak]]-Tabla336106734810[[#This Row],[Equity]])/Tabla336106734810[[#This Row],[Equity Peak]],"")</f>
        <v>3.5000000000000003E-2</v>
      </c>
      <c r="V91" s="187">
        <f t="shared" si="45"/>
        <v>0</v>
      </c>
      <c r="W91" s="187">
        <f t="shared" si="46"/>
        <v>0</v>
      </c>
      <c r="X91" s="187">
        <f t="shared" si="47"/>
        <v>0</v>
      </c>
      <c r="Y91" s="187">
        <f t="shared" si="48"/>
        <v>0</v>
      </c>
      <c r="Z91" s="187">
        <f t="shared" si="49"/>
        <v>0.01</v>
      </c>
      <c r="AA91" s="183">
        <f t="shared" si="50"/>
        <v>0</v>
      </c>
      <c r="AB91" s="187">
        <f t="shared" si="51"/>
        <v>0</v>
      </c>
      <c r="AC91" s="183">
        <f t="shared" si="52"/>
        <v>0</v>
      </c>
      <c r="AD91" s="188">
        <f t="shared" si="53"/>
        <v>0.117361111115315</v>
      </c>
      <c r="AE91" s="188">
        <f t="shared" si="54"/>
        <v>0.117361111115315</v>
      </c>
      <c r="AF91" s="188">
        <f t="shared" si="55"/>
        <v>0</v>
      </c>
      <c r="AG91" s="188">
        <f t="shared" si="56"/>
        <v>0</v>
      </c>
    </row>
    <row r="92" spans="2:33" ht="15" customHeight="1" x14ac:dyDescent="0.15">
      <c r="B92" s="174" t="s">
        <v>5</v>
      </c>
      <c r="C92" s="175" t="s">
        <v>13</v>
      </c>
      <c r="D92" s="176" t="str">
        <f t="shared" si="38"/>
        <v>C</v>
      </c>
      <c r="E92" s="177" t="d">
        <v>2021-01-22T11:45:00.00000020954757600</v>
      </c>
      <c r="F92" s="178" t="s">
        <v>80</v>
      </c>
      <c r="G92" s="179">
        <v>13763.9</v>
      </c>
      <c r="H92" s="179">
        <v>13812.6</v>
      </c>
      <c r="I92" s="180">
        <f t="shared" si="39"/>
        <v>48.700000000000728</v>
      </c>
      <c r="J92" s="179">
        <v>13406.8</v>
      </c>
      <c r="K92" s="177" t="d">
        <v>2021-01-22T12:20:59.99999970663339225</v>
      </c>
      <c r="L92" s="179">
        <v>13812.6</v>
      </c>
      <c r="M92" s="181">
        <f t="shared" si="40"/>
        <v>-48.7</v>
      </c>
      <c r="N92" s="182">
        <f t="shared" si="41"/>
        <v>-1</v>
      </c>
      <c r="O92" s="183">
        <f t="shared" si="42"/>
        <v>0</v>
      </c>
      <c r="P92" s="184">
        <f t="shared" si="43"/>
        <v>0</v>
      </c>
      <c r="Q92" s="184">
        <f t="shared" si="44"/>
        <v>-1</v>
      </c>
      <c r="R92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2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24122.5</v>
      </c>
      <c r="T92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92" s="186">
        <f ca="1">IF(Tabla336106734810[[#This Row],[Equity]]&lt;Tabla336106734810[[#This Row],[Equity Peak]],(Tabla336106734810[[#This Row],[Equity Peak]]-Tabla336106734810[[#This Row],[Equity]])/Tabla336106734810[[#This Row],[Equity Peak]],"")</f>
        <v>3.5099999999999999E-2</v>
      </c>
      <c r="V92" s="187">
        <f t="shared" si="45"/>
        <v>0</v>
      </c>
      <c r="W92" s="187">
        <f t="shared" si="46"/>
        <v>0</v>
      </c>
      <c r="X92" s="187">
        <f t="shared" si="47"/>
        <v>0</v>
      </c>
      <c r="Y92" s="187">
        <f t="shared" si="48"/>
        <v>0</v>
      </c>
      <c r="Z92" s="187">
        <f t="shared" si="49"/>
        <v>-1</v>
      </c>
      <c r="AA92" s="183">
        <f t="shared" si="50"/>
        <v>0</v>
      </c>
      <c r="AB92" s="187">
        <f t="shared" si="51"/>
        <v>0</v>
      </c>
      <c r="AC92" s="183">
        <f t="shared" si="52"/>
        <v>0</v>
      </c>
      <c r="AD92" s="188">
        <f t="shared" si="53"/>
        <v>2.4999999994179234E-2</v>
      </c>
      <c r="AE92" s="188">
        <f t="shared" si="54"/>
        <v>0</v>
      </c>
      <c r="AF92" s="188">
        <f t="shared" si="55"/>
        <v>2.4999999994179234E-2</v>
      </c>
      <c r="AG92" s="188">
        <f t="shared" si="56"/>
        <v>0</v>
      </c>
    </row>
    <row r="93" spans="2:33" ht="15" customHeight="1" x14ac:dyDescent="0.15">
      <c r="B93" s="174" t="s">
        <v>5</v>
      </c>
      <c r="C93" s="175" t="s">
        <v>13</v>
      </c>
      <c r="D93" s="176" t="str">
        <f t="shared" si="38"/>
        <v>C</v>
      </c>
      <c r="E93" s="177" t="d">
        <v>2021-01-22T10:30:00.000</v>
      </c>
      <c r="F93" s="178" t="s">
        <v>80</v>
      </c>
      <c r="G93" s="179">
        <v>13785.96</v>
      </c>
      <c r="H93" s="179">
        <v>13832.44</v>
      </c>
      <c r="I93" s="180">
        <f t="shared" si="39"/>
        <v>46.480000000001382</v>
      </c>
      <c r="J93" s="179">
        <v>13445.14</v>
      </c>
      <c r="K93" s="177" t="d">
        <v>2021-01-22T11:06:00.00000012572854425</v>
      </c>
      <c r="L93" s="179">
        <v>13832.44</v>
      </c>
      <c r="M93" s="181">
        <f t="shared" si="40"/>
        <v>-46.48</v>
      </c>
      <c r="N93" s="182">
        <f t="shared" si="41"/>
        <v>-1</v>
      </c>
      <c r="O93" s="183">
        <f t="shared" si="42"/>
        <v>0</v>
      </c>
      <c r="P93" s="184">
        <f t="shared" si="43"/>
        <v>0</v>
      </c>
      <c r="Q93" s="184">
        <f t="shared" si="44"/>
        <v>-1</v>
      </c>
      <c r="R93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3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24372.5</v>
      </c>
      <c r="T93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93" s="186">
        <f ca="1">IF(Tabla336106734810[[#This Row],[Equity]]&lt;Tabla336106734810[[#This Row],[Equity Peak]],(Tabla336106734810[[#This Row],[Equity Peak]]-Tabla336106734810[[#This Row],[Equity]])/Tabla336106734810[[#This Row],[Equity Peak]],"")</f>
        <v>2.5100000000000001E-2</v>
      </c>
      <c r="V93" s="187">
        <f t="shared" si="45"/>
        <v>0</v>
      </c>
      <c r="W93" s="187">
        <f t="shared" si="46"/>
        <v>0</v>
      </c>
      <c r="X93" s="187">
        <f t="shared" si="47"/>
        <v>0</v>
      </c>
      <c r="Y93" s="187">
        <f t="shared" si="48"/>
        <v>0</v>
      </c>
      <c r="Z93" s="187">
        <f t="shared" si="49"/>
        <v>-1</v>
      </c>
      <c r="AA93" s="183">
        <f t="shared" si="50"/>
        <v>0</v>
      </c>
      <c r="AB93" s="187">
        <f t="shared" si="51"/>
        <v>0</v>
      </c>
      <c r="AC93" s="183">
        <f t="shared" si="52"/>
        <v>0</v>
      </c>
      <c r="AD93" s="188">
        <f t="shared" si="53"/>
        <v>2.5000000001455192E-2</v>
      </c>
      <c r="AE93" s="188">
        <f t="shared" si="54"/>
        <v>0</v>
      </c>
      <c r="AF93" s="188">
        <f t="shared" si="55"/>
        <v>2.5000000001455192E-2</v>
      </c>
      <c r="AG93" s="188">
        <f t="shared" si="56"/>
        <v>0</v>
      </c>
    </row>
    <row r="94" spans="2:33" ht="15" customHeight="1" x14ac:dyDescent="0.15">
      <c r="B94" s="174" t="s">
        <v>5</v>
      </c>
      <c r="C94" s="175" t="s">
        <v>15</v>
      </c>
      <c r="D94" s="176" t="str">
        <f t="shared" si="38"/>
        <v>C</v>
      </c>
      <c r="E94" s="177" t="d">
        <v>2021-01-21T01:30:00.000</v>
      </c>
      <c r="F94" s="178" t="s">
        <v>80</v>
      </c>
      <c r="G94" s="179">
        <v>13972.38</v>
      </c>
      <c r="H94" s="179">
        <v>13925.52</v>
      </c>
      <c r="I94" s="180">
        <f t="shared" si="39"/>
        <v>46.859999999998763</v>
      </c>
      <c r="J94" s="179">
        <v>14316.05</v>
      </c>
      <c r="K94" s="177" t="d">
        <v>2021-01-21T10:54:00.00000029336660775</v>
      </c>
      <c r="L94" s="179">
        <v>13952.47</v>
      </c>
      <c r="M94" s="181">
        <f t="shared" si="40"/>
        <v>-19.91</v>
      </c>
      <c r="N94" s="182">
        <f t="shared" si="41"/>
        <v>-0.42</v>
      </c>
      <c r="O94" s="183">
        <f t="shared" si="42"/>
        <v>0</v>
      </c>
      <c r="P94" s="184">
        <f t="shared" si="43"/>
        <v>0</v>
      </c>
      <c r="Q94" s="184">
        <f t="shared" si="44"/>
        <v>-0.42</v>
      </c>
      <c r="R94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4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24622.5</v>
      </c>
      <c r="T94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94" s="186">
        <f ca="1">IF(Tabla336106734810[[#This Row],[Equity]]&lt;Tabla336106734810[[#This Row],[Equity Peak]],(Tabla336106734810[[#This Row],[Equity Peak]]-Tabla336106734810[[#This Row],[Equity]])/Tabla336106734810[[#This Row],[Equity Peak]],"")</f>
        <v>1.5100000000000001E-2</v>
      </c>
      <c r="V94" s="187">
        <f t="shared" si="45"/>
        <v>0</v>
      </c>
      <c r="W94" s="187">
        <f t="shared" si="46"/>
        <v>0</v>
      </c>
      <c r="X94" s="187">
        <f t="shared" si="47"/>
        <v>0</v>
      </c>
      <c r="Y94" s="187">
        <f t="shared" si="48"/>
        <v>0</v>
      </c>
      <c r="Z94" s="187">
        <f t="shared" si="49"/>
        <v>-0.42</v>
      </c>
      <c r="AA94" s="183">
        <f t="shared" si="50"/>
        <v>0</v>
      </c>
      <c r="AB94" s="187">
        <f t="shared" si="51"/>
        <v>0</v>
      </c>
      <c r="AC94" s="183">
        <f t="shared" si="52"/>
        <v>0</v>
      </c>
      <c r="AD94" s="188">
        <f t="shared" si="53"/>
        <v>0.39166666667006211</v>
      </c>
      <c r="AE94" s="188">
        <f t="shared" si="54"/>
        <v>0</v>
      </c>
      <c r="AF94" s="188">
        <f t="shared" si="55"/>
        <v>0.39166666667006211</v>
      </c>
      <c r="AG94" s="188">
        <f t="shared" si="56"/>
        <v>0</v>
      </c>
    </row>
    <row r="95" spans="2:33" ht="15" customHeight="1" x14ac:dyDescent="0.15">
      <c r="B95" s="174" t="s">
        <v>5</v>
      </c>
      <c r="C95" s="175" t="s">
        <v>13</v>
      </c>
      <c r="D95" s="176" t="str">
        <f t="shared" si="38"/>
        <v>C</v>
      </c>
      <c r="E95" s="177" t="d">
        <v>2021-01-15T17:15:00.000</v>
      </c>
      <c r="F95" s="178" t="s">
        <v>80</v>
      </c>
      <c r="G95" s="179">
        <v>13737.68</v>
      </c>
      <c r="H95" s="179">
        <v>13795.24</v>
      </c>
      <c r="I95" s="180">
        <f t="shared" si="39"/>
        <v>57.559999999999491</v>
      </c>
      <c r="J95" s="179">
        <v>13315.59</v>
      </c>
      <c r="K95" s="177" t="d">
        <v>2021-01-15T20:20:59.99999991618096825</v>
      </c>
      <c r="L95" s="179">
        <v>13795.24</v>
      </c>
      <c r="M95" s="181">
        <f t="shared" si="40"/>
        <v>-57.56</v>
      </c>
      <c r="N95" s="182">
        <f t="shared" si="41"/>
        <v>-1</v>
      </c>
      <c r="O95" s="183">
        <f t="shared" si="42"/>
        <v>0</v>
      </c>
      <c r="P95" s="184">
        <f t="shared" si="43"/>
        <v>0</v>
      </c>
      <c r="Q95" s="184">
        <f t="shared" si="44"/>
        <v>-1</v>
      </c>
      <c r="R95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5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24727.5</v>
      </c>
      <c r="T95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95" s="186">
        <f ca="1">IF(Tabla336106734810[[#This Row],[Equity]]&lt;Tabla336106734810[[#This Row],[Equity Peak]],(Tabla336106734810[[#This Row],[Equity Peak]]-Tabla336106734810[[#This Row],[Equity]])/Tabla336106734810[[#This Row],[Equity Peak]],"")</f>
        <v>1.09E-2</v>
      </c>
      <c r="V95" s="187">
        <f t="shared" si="45"/>
        <v>0</v>
      </c>
      <c r="W95" s="187">
        <f t="shared" si="46"/>
        <v>0</v>
      </c>
      <c r="X95" s="187">
        <f t="shared" si="47"/>
        <v>0</v>
      </c>
      <c r="Y95" s="187">
        <f t="shared" si="48"/>
        <v>0</v>
      </c>
      <c r="Z95" s="187">
        <f t="shared" si="49"/>
        <v>-1</v>
      </c>
      <c r="AA95" s="183">
        <f t="shared" si="50"/>
        <v>0</v>
      </c>
      <c r="AB95" s="187">
        <f t="shared" si="51"/>
        <v>0</v>
      </c>
      <c r="AC95" s="183">
        <f t="shared" si="52"/>
        <v>0</v>
      </c>
      <c r="AD95" s="188">
        <f t="shared" si="53"/>
        <v>0.12916666666569654</v>
      </c>
      <c r="AE95" s="188">
        <f t="shared" si="54"/>
        <v>0</v>
      </c>
      <c r="AF95" s="188">
        <f t="shared" si="55"/>
        <v>0.12916666666569654</v>
      </c>
      <c r="AG95" s="188">
        <f t="shared" si="56"/>
        <v>0</v>
      </c>
    </row>
    <row r="96" spans="2:33" ht="15" customHeight="1" x14ac:dyDescent="0.15">
      <c r="B96" s="174" t="s">
        <v>5</v>
      </c>
      <c r="C96" s="175" t="s">
        <v>15</v>
      </c>
      <c r="D96" s="176" t="str">
        <f t="shared" si="38"/>
        <v>C</v>
      </c>
      <c r="E96" s="177" t="d">
        <v>2021-01-07T03:30:00.00000020954757600</v>
      </c>
      <c r="F96" s="178" t="s">
        <v>80</v>
      </c>
      <c r="G96" s="179">
        <v>13955.5</v>
      </c>
      <c r="H96" s="179">
        <v>13876.74</v>
      </c>
      <c r="I96" s="180">
        <f t="shared" si="39"/>
        <v>78.760000000000218</v>
      </c>
      <c r="J96" s="179">
        <v>14533.07</v>
      </c>
      <c r="K96" s="177" t="d">
        <v>2021-01-08T17:23:59.99999987427145575</v>
      </c>
      <c r="L96" s="179">
        <v>14027.48</v>
      </c>
      <c r="M96" s="181">
        <f t="shared" si="40"/>
        <v>71.98</v>
      </c>
      <c r="N96" s="182">
        <f t="shared" si="41"/>
        <v>0.91</v>
      </c>
      <c r="O96" s="183">
        <f t="shared" si="42"/>
        <v>0</v>
      </c>
      <c r="P96" s="184">
        <f t="shared" si="43"/>
        <v>0.91</v>
      </c>
      <c r="Q96" s="184">
        <f t="shared" si="44"/>
        <v>0</v>
      </c>
      <c r="R96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96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24977.5</v>
      </c>
      <c r="T96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96" s="186">
        <f ca="1">IF(Tabla336106734810[[#This Row],[Equity]]&lt;Tabla336106734810[[#This Row],[Equity Peak]],(Tabla336106734810[[#This Row],[Equity Peak]]-Tabla336106734810[[#This Row],[Equity]])/Tabla336106734810[[#This Row],[Equity Peak]],"")</f>
        <v>8.9999999999999998E-4</v>
      </c>
      <c r="V96" s="187">
        <f t="shared" si="45"/>
        <v>0</v>
      </c>
      <c r="W96" s="187">
        <f t="shared" si="46"/>
        <v>0</v>
      </c>
      <c r="X96" s="187">
        <f t="shared" si="47"/>
        <v>0</v>
      </c>
      <c r="Y96" s="187">
        <f t="shared" si="48"/>
        <v>0</v>
      </c>
      <c r="Z96" s="187">
        <f t="shared" si="49"/>
        <v>0.91</v>
      </c>
      <c r="AA96" s="183">
        <f t="shared" si="50"/>
        <v>0</v>
      </c>
      <c r="AB96" s="187">
        <f t="shared" si="51"/>
        <v>0</v>
      </c>
      <c r="AC96" s="183">
        <f t="shared" si="52"/>
        <v>0</v>
      </c>
      <c r="AD96" s="188">
        <f t="shared" si="53"/>
        <v>1.5791666666627862</v>
      </c>
      <c r="AE96" s="188">
        <f t="shared" si="54"/>
        <v>1.5791666666627862</v>
      </c>
      <c r="AF96" s="188">
        <f t="shared" si="55"/>
        <v>0</v>
      </c>
      <c r="AG96" s="188">
        <f t="shared" si="56"/>
        <v>0</v>
      </c>
    </row>
    <row r="97" spans="2:33" ht="15" customHeight="1" x14ac:dyDescent="0.15">
      <c r="B97" s="174" t="s">
        <v>5</v>
      </c>
      <c r="C97" s="175" t="s">
        <v>15</v>
      </c>
      <c r="D97" s="176" t="str">
        <f t="shared" si="38"/>
        <v>C</v>
      </c>
      <c r="E97" s="177" t="d">
        <v>2021-01-06T18:30:00.00000020954757600</v>
      </c>
      <c r="F97" s="178" t="s">
        <v>80</v>
      </c>
      <c r="G97" s="179">
        <v>13916.65</v>
      </c>
      <c r="H97" s="179">
        <v>13832.08</v>
      </c>
      <c r="I97" s="180">
        <f t="shared" si="39"/>
        <v>84.569999999999709</v>
      </c>
      <c r="J97" s="179">
        <v>14536.85</v>
      </c>
      <c r="K97" s="177" t="d">
        <v>2021-01-06T23:00:59.99999977648258200</v>
      </c>
      <c r="L97" s="179">
        <v>13832.08</v>
      </c>
      <c r="M97" s="181">
        <f t="shared" si="40"/>
        <v>-84.57</v>
      </c>
      <c r="N97" s="182">
        <f t="shared" si="41"/>
        <v>-1</v>
      </c>
      <c r="O97" s="183">
        <f t="shared" si="42"/>
        <v>0</v>
      </c>
      <c r="P97" s="184">
        <f t="shared" si="43"/>
        <v>0</v>
      </c>
      <c r="Q97" s="184">
        <f t="shared" si="44"/>
        <v>-1</v>
      </c>
      <c r="R97" s="184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Yes</v>
      </c>
      <c r="S97" s="185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24750</v>
      </c>
      <c r="T97" s="185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25000</v>
      </c>
      <c r="U97" s="186">
        <f ca="1">IF(Tabla336106734810[[#This Row],[Equity]]&lt;Tabla336106734810[[#This Row],[Equity Peak]],(Tabla336106734810[[#This Row],[Equity Peak]]-Tabla336106734810[[#This Row],[Equity]])/Tabla336106734810[[#This Row],[Equity Peak]],"")</f>
        <v>0.01</v>
      </c>
      <c r="V97" s="187">
        <f t="shared" si="45"/>
        <v>0</v>
      </c>
      <c r="W97" s="187">
        <f t="shared" si="46"/>
        <v>0</v>
      </c>
      <c r="X97" s="187">
        <f t="shared" si="47"/>
        <v>0</v>
      </c>
      <c r="Y97" s="187">
        <f t="shared" si="48"/>
        <v>0</v>
      </c>
      <c r="Z97" s="187">
        <f t="shared" si="49"/>
        <v>-1</v>
      </c>
      <c r="AA97" s="183">
        <f t="shared" si="50"/>
        <v>0</v>
      </c>
      <c r="AB97" s="187">
        <f t="shared" si="51"/>
        <v>0</v>
      </c>
      <c r="AC97" s="183">
        <f t="shared" si="52"/>
        <v>0</v>
      </c>
      <c r="AD97" s="188">
        <f t="shared" si="53"/>
        <v>0.18819444443943212</v>
      </c>
      <c r="AE97" s="188">
        <f t="shared" si="54"/>
        <v>0</v>
      </c>
      <c r="AF97" s="188">
        <f t="shared" si="55"/>
        <v>0.18819444443943212</v>
      </c>
      <c r="AG97" s="188">
        <f t="shared" si="56"/>
        <v>0</v>
      </c>
    </row>
  </sheetData>
  <sheetProtection algorithmName="SHA-512" hashValue="L5bKI9TMurPPSNJ82w+BkU/oKfnbLw8t0D47lyI29msxFvjHR95xTkOUGWP/Ntt/I2GEFFPh3Z4dFumHSmGruQ==" saltValue="CCuB9JwXdCu0sct1r1pEW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125" priority="3" operator="equal">
      <formula>"OK"</formula>
    </cfRule>
    <cfRule type="cellIs" dxfId="124" priority="4" operator="equal">
      <formula>"warning"</formula>
    </cfRule>
  </conditionalFormatting>
  <conditionalFormatting sqref="F13">
    <cfRule type="cellIs" dxfId="123" priority="1" operator="equal">
      <formula>"OK"</formula>
    </cfRule>
    <cfRule type="cellIs" dxfId="122" priority="2" operator="equal">
      <formula>"Error!!"</formula>
    </cfRule>
  </conditionalFormatting>
  <conditionalFormatting sqref="E15:H15 K15:L15">
    <cfRule type="expression" dxfId="121" priority="5">
      <formula>+$D15=#REF!</formula>
    </cfRule>
    <cfRule type="expression" dxfId="120" priority="6">
      <formula>+$D15=#REF!</formula>
    </cfRule>
  </conditionalFormatting>
  <conditionalFormatting sqref="D15 K16:L16 D16:H97 J17:L97">
    <cfRule type="expression" dxfId="119" priority="7">
      <formula>+$D15=$AG$8</formula>
    </cfRule>
    <cfRule type="expression" dxfId="118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7:B97" xr:uid="{EFDCDC49-89F5-4C18-BD21-68F0A3322770}">
      <formula1>$AE$4:$AE$7</formula1>
    </dataValidation>
    <dataValidation type="list" allowBlank="1" showInputMessage="1" showErrorMessage="1" promptTitle="Instrument Type" prompt="Select Type from List_x000a_" sqref="B15:B16" xr:uid="{A047C651-5DC2-4B2C-BE2E-122315CC2EA4}">
      <formula1>$AE$4:$AE$6</formula1>
    </dataValidation>
    <dataValidation type="list" allowBlank="1" showInputMessage="1" showErrorMessage="1" promptTitle="Trade Direction" prompt="Select from List" sqref="C15:C17" xr:uid="{01F994FC-B8A6-4941-864F-659B53D6DEA5}">
      <formula1>$AG$4:$AG$5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25565-9CC8-4560-8B30-0F11881B1080}">
  <sheetPr codeName="Hoja17">
    <pageSetUpPr fitToPage="1"/>
  </sheetPr>
  <dimension ref="A1:AX139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E2" sqref="E2:N5"/>
    </sheetView>
  </sheetViews>
  <sheetFormatPr baseColWidth="10" defaultColWidth="0" defaultRowHeight="15" customHeight="1" x14ac:dyDescent="0.15"/>
  <cols>
    <col min="1" max="1" width="2.33203125" style="117" customWidth="1"/>
    <col min="2" max="2" width="10.33203125" style="88" customWidth="1"/>
    <col min="3" max="3" width="12.6640625" style="90" customWidth="1"/>
    <col min="4" max="4" width="8.6640625" style="91" customWidth="1"/>
    <col min="5" max="5" width="13.6640625" style="107" customWidth="1"/>
    <col min="6" max="6" width="8.33203125" style="88" customWidth="1"/>
    <col min="7" max="7" width="10.6640625" style="88" bestFit="1" customWidth="1"/>
    <col min="8" max="8" width="9.83203125" style="88" bestFit="1" customWidth="1"/>
    <col min="9" max="9" width="15.33203125" style="88" customWidth="1"/>
    <col min="10" max="10" width="12.83203125" style="88" customWidth="1"/>
    <col min="11" max="11" width="12.6640625" style="107" customWidth="1"/>
    <col min="12" max="12" width="10.33203125" style="88" customWidth="1"/>
    <col min="13" max="13" width="10.1640625" style="89" customWidth="1"/>
    <col min="14" max="14" width="12.1640625" style="89" customWidth="1"/>
    <col min="15" max="15" width="8.6640625" style="89" hidden="1" customWidth="1"/>
    <col min="16" max="16" width="10.33203125" style="89" customWidth="1"/>
    <col min="17" max="17" width="11" style="89" customWidth="1"/>
    <col min="18" max="18" width="11" style="89" hidden="1" customWidth="1"/>
    <col min="19" max="20" width="11" style="96" hidden="1" customWidth="1"/>
    <col min="21" max="21" width="11" style="102" hidden="1" customWidth="1"/>
    <col min="22" max="22" width="9.33203125" style="89" bestFit="1" customWidth="1"/>
    <col min="23" max="23" width="9.33203125" style="89" hidden="1" customWidth="1"/>
    <col min="24" max="24" width="7.6640625" style="89" customWidth="1"/>
    <col min="25" max="25" width="9.33203125" style="89" hidden="1" customWidth="1"/>
    <col min="26" max="26" width="8.1640625" style="89" bestFit="1" customWidth="1"/>
    <col min="27" max="27" width="8.33203125" style="89" hidden="1" customWidth="1"/>
    <col min="28" max="28" width="8.1640625" style="89" customWidth="1"/>
    <col min="29" max="29" width="8.1640625" style="89" hidden="1" customWidth="1"/>
    <col min="30" max="30" width="9.6640625" style="89" customWidth="1"/>
    <col min="31" max="31" width="8.1640625" style="89" customWidth="1"/>
    <col min="32" max="32" width="8" style="89" customWidth="1"/>
    <col min="33" max="33" width="6.6640625" style="88" customWidth="1"/>
    <col min="34" max="34" width="2.5" style="117" customWidth="1"/>
    <col min="35" max="35" width="7.33203125" style="87" hidden="1" customWidth="1"/>
    <col min="36" max="41" width="2.6640625" style="88" hidden="1" customWidth="1"/>
    <col min="42" max="42" width="4.6640625" style="88" hidden="1" customWidth="1"/>
    <col min="43" max="43" width="7.6640625" style="88" hidden="1" customWidth="1"/>
    <col min="44" max="44" width="8.6640625" style="88" hidden="1" customWidth="1"/>
    <col min="45" max="45" width="12.33203125" style="88" hidden="1" customWidth="1"/>
    <col min="46" max="46" width="2.1640625" style="88" hidden="1" customWidth="1"/>
    <col min="47" max="47" width="2.6640625" style="88" hidden="1" customWidth="1"/>
    <col min="48" max="50" width="39.33203125" style="88" hidden="1" customWidth="1"/>
    <col min="51" max="16384" width="2.6640625" style="88" hidden="1"/>
  </cols>
  <sheetData>
    <row r="1" spans="1:48" s="87" customFormat="1" ht="15" customHeight="1" x14ac:dyDescent="0.15">
      <c r="A1" s="116"/>
      <c r="B1" s="119"/>
      <c r="C1" s="118"/>
      <c r="D1" s="118"/>
      <c r="E1" s="120"/>
      <c r="F1" s="116"/>
      <c r="G1" s="116"/>
      <c r="H1" s="116"/>
      <c r="I1" s="116"/>
      <c r="J1" s="116"/>
      <c r="K1" s="120"/>
      <c r="L1" s="121"/>
      <c r="M1" s="122"/>
      <c r="N1" s="122"/>
      <c r="O1" s="2"/>
      <c r="P1" s="134"/>
      <c r="Q1" s="134"/>
      <c r="R1" s="134"/>
      <c r="S1" s="135"/>
      <c r="T1" s="135"/>
      <c r="U1" s="136"/>
      <c r="V1" s="134"/>
      <c r="W1" s="134"/>
      <c r="X1" s="134"/>
      <c r="Y1" s="134"/>
      <c r="Z1" s="134"/>
      <c r="AA1" s="134"/>
      <c r="AB1" s="147"/>
      <c r="AC1" s="1"/>
      <c r="AD1" s="147"/>
      <c r="AE1" s="147"/>
      <c r="AF1" s="147"/>
      <c r="AG1" s="147"/>
      <c r="AH1" s="147"/>
    </row>
    <row r="2" spans="1:48" ht="15" customHeight="1" thickBot="1" x14ac:dyDescent="0.2">
      <c r="B2" s="117"/>
      <c r="C2" s="118"/>
      <c r="D2" s="123"/>
      <c r="E2" s="189" t="s">
        <v>105</v>
      </c>
      <c r="F2" s="189"/>
      <c r="G2" s="189"/>
      <c r="H2" s="189"/>
      <c r="I2" s="189"/>
      <c r="J2" s="189"/>
      <c r="K2" s="189"/>
      <c r="L2" s="189"/>
      <c r="M2" s="189"/>
      <c r="N2" s="189"/>
      <c r="O2" s="115"/>
      <c r="P2" s="137"/>
      <c r="Q2" s="137"/>
      <c r="R2" s="138"/>
      <c r="S2" s="139"/>
      <c r="T2" s="139"/>
      <c r="U2" s="140"/>
      <c r="V2" s="141"/>
      <c r="W2" s="141"/>
      <c r="X2" s="141"/>
      <c r="Y2" s="141"/>
      <c r="Z2" s="141"/>
      <c r="AA2" s="141"/>
      <c r="AB2" s="141"/>
      <c r="AC2" s="3"/>
      <c r="AD2" s="147"/>
      <c r="AE2" s="147"/>
      <c r="AF2" s="147"/>
      <c r="AG2" s="147"/>
      <c r="AH2" s="141"/>
    </row>
    <row r="3" spans="1:48" ht="15" customHeight="1" thickBot="1" x14ac:dyDescent="0.2">
      <c r="B3" s="117"/>
      <c r="C3" s="124"/>
      <c r="D3" s="123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15"/>
      <c r="P3" s="137"/>
      <c r="Q3" s="137"/>
      <c r="R3" s="138"/>
      <c r="S3" s="139"/>
      <c r="T3" s="139"/>
      <c r="U3" s="140"/>
      <c r="V3" s="141"/>
      <c r="W3" s="141"/>
      <c r="X3" s="141"/>
      <c r="Y3" s="141"/>
      <c r="Z3" s="141"/>
      <c r="AA3" s="141"/>
      <c r="AB3" s="141"/>
      <c r="AC3" s="3"/>
      <c r="AD3" s="4" t="s">
        <v>76</v>
      </c>
      <c r="AE3" s="5"/>
      <c r="AF3" s="4" t="s">
        <v>17</v>
      </c>
      <c r="AG3" s="6"/>
    </row>
    <row r="4" spans="1:48" ht="15" customHeight="1" x14ac:dyDescent="0.15">
      <c r="B4" s="117"/>
      <c r="C4" s="124"/>
      <c r="D4" s="123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15"/>
      <c r="P4" s="137"/>
      <c r="Q4" s="137"/>
      <c r="R4" s="138"/>
      <c r="S4" s="139"/>
      <c r="T4" s="139"/>
      <c r="U4" s="140"/>
      <c r="V4" s="141"/>
      <c r="W4" s="141"/>
      <c r="X4" s="141"/>
      <c r="Y4" s="141"/>
      <c r="Z4" s="141"/>
      <c r="AA4" s="141"/>
      <c r="AB4" s="141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88">
        <f>+IF(F13="OK",1,0)</f>
        <v>1</v>
      </c>
    </row>
    <row r="5" spans="1:48" ht="15" customHeight="1" thickBot="1" x14ac:dyDescent="0.2">
      <c r="B5" s="117"/>
      <c r="C5" s="124"/>
      <c r="D5" s="123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15"/>
      <c r="P5" s="137"/>
      <c r="Q5" s="137"/>
      <c r="R5" s="138"/>
      <c r="S5" s="139"/>
      <c r="T5" s="139"/>
      <c r="U5" s="140"/>
      <c r="V5" s="148" t="s">
        <v>7</v>
      </c>
      <c r="W5" s="134"/>
      <c r="X5" s="148" t="s">
        <v>6</v>
      </c>
      <c r="Y5" s="149"/>
      <c r="Z5" s="148" t="s">
        <v>5</v>
      </c>
      <c r="AA5" s="149"/>
      <c r="AB5" s="148" t="s">
        <v>73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88">
        <f>+IF(AS4=1,0,1)</f>
        <v>0</v>
      </c>
    </row>
    <row r="6" spans="1:48" ht="33" customHeight="1" thickBot="1" x14ac:dyDescent="0.2">
      <c r="B6" s="117"/>
      <c r="C6" s="124"/>
      <c r="D6" s="125"/>
      <c r="E6" s="108" t="s">
        <v>10</v>
      </c>
      <c r="F6" s="14">
        <f>COUNTA(Tabla336106734811[Inst])</f>
        <v>123</v>
      </c>
      <c r="G6" s="15" t="s">
        <v>9</v>
      </c>
      <c r="H6" s="15" t="s">
        <v>8</v>
      </c>
      <c r="I6" s="15" t="s">
        <v>61</v>
      </c>
      <c r="J6" s="77" t="s">
        <v>62</v>
      </c>
      <c r="K6" s="127"/>
      <c r="L6" s="199" t="s">
        <v>100</v>
      </c>
      <c r="M6" s="200"/>
      <c r="N6" s="203">
        <f>N13</f>
        <v>36.850000000000009</v>
      </c>
      <c r="O6" s="16"/>
      <c r="P6" s="141"/>
      <c r="Q6" s="142" t="s">
        <v>47</v>
      </c>
      <c r="R6" s="142"/>
      <c r="S6" s="143"/>
      <c r="T6" s="143"/>
      <c r="U6" s="144"/>
      <c r="V6" s="17">
        <f>+V13</f>
        <v>0</v>
      </c>
      <c r="W6" s="18"/>
      <c r="X6" s="17">
        <f>+X13</f>
        <v>0</v>
      </c>
      <c r="Y6" s="19"/>
      <c r="Z6" s="17">
        <f>+Z13</f>
        <v>36.850000000000009</v>
      </c>
      <c r="AA6" s="19"/>
      <c r="AB6" s="17">
        <f>+AB13</f>
        <v>0</v>
      </c>
      <c r="AC6" s="84"/>
      <c r="AD6" s="11" t="s">
        <v>18</v>
      </c>
      <c r="AE6" s="12" t="s">
        <v>5</v>
      </c>
      <c r="AF6" s="20"/>
      <c r="AG6" s="22"/>
    </row>
    <row r="7" spans="1:48" ht="15" customHeight="1" thickBot="1" x14ac:dyDescent="0.2">
      <c r="B7" s="117"/>
      <c r="C7" s="118"/>
      <c r="D7" s="117"/>
      <c r="E7" s="109" t="s">
        <v>4</v>
      </c>
      <c r="F7" s="23">
        <f>COUNTIF(Tabla336106734811[No. of Rs],"&gt;0")</f>
        <v>50</v>
      </c>
      <c r="G7" s="24">
        <f>IFERROR((F7/$F$6),"")</f>
        <v>0.4065040650406504</v>
      </c>
      <c r="H7" s="78">
        <f>IFERROR((+P13/F7),"")</f>
        <v>1.944</v>
      </c>
      <c r="I7" s="205">
        <f>H7/H9</f>
        <v>2.3514830157415081</v>
      </c>
      <c r="J7" s="205">
        <f>AVERAGE(Tabla336106734811[No. of Rs])</f>
        <v>0.29959349593495943</v>
      </c>
      <c r="K7" s="127"/>
      <c r="L7" s="201"/>
      <c r="M7" s="202"/>
      <c r="N7" s="204"/>
      <c r="O7" s="16"/>
      <c r="P7" s="141"/>
      <c r="Q7" s="142" t="s">
        <v>2</v>
      </c>
      <c r="R7" s="142"/>
      <c r="S7" s="143"/>
      <c r="T7" s="143"/>
      <c r="U7" s="144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85"/>
      <c r="AD7" s="20" t="s">
        <v>75</v>
      </c>
      <c r="AE7" s="21" t="s">
        <v>73</v>
      </c>
      <c r="AF7" s="4" t="s">
        <v>37</v>
      </c>
      <c r="AG7" s="6"/>
    </row>
    <row r="8" spans="1:48" ht="23" customHeight="1" thickBot="1" x14ac:dyDescent="0.2">
      <c r="B8" s="117"/>
      <c r="C8" s="118"/>
      <c r="D8" s="117"/>
      <c r="E8" s="109" t="s">
        <v>3</v>
      </c>
      <c r="F8" s="23">
        <f>COUNTIF(Tabla336106734811[No. of Rs],"=0")</f>
        <v>0</v>
      </c>
      <c r="G8" s="24">
        <f>IFERROR((F8/$F$6),"")</f>
        <v>0</v>
      </c>
      <c r="H8" s="78"/>
      <c r="I8" s="206"/>
      <c r="J8" s="206"/>
      <c r="K8" s="141"/>
      <c r="L8" s="190" t="s">
        <v>101</v>
      </c>
      <c r="M8" s="191"/>
      <c r="N8" s="173">
        <f ca="1">OFFSET(Tabla336106734811[[#Headers],[Equity]],1,0)</f>
        <v>34212.5</v>
      </c>
      <c r="O8" s="16"/>
      <c r="P8" s="141"/>
      <c r="Q8" s="142" t="s">
        <v>63</v>
      </c>
      <c r="R8" s="142"/>
      <c r="S8" s="143"/>
      <c r="T8" s="143"/>
      <c r="U8" s="144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86"/>
      <c r="AD8" s="141"/>
      <c r="AE8" s="141"/>
      <c r="AF8" s="7" t="s">
        <v>31</v>
      </c>
      <c r="AG8" s="9" t="s">
        <v>33</v>
      </c>
    </row>
    <row r="9" spans="1:48" ht="15" customHeight="1" thickBot="1" x14ac:dyDescent="0.2">
      <c r="B9" s="117"/>
      <c r="C9" s="118"/>
      <c r="D9" s="126"/>
      <c r="E9" s="110" t="s">
        <v>1</v>
      </c>
      <c r="F9" s="31">
        <f>COUNTIF(Tabla336106734811[No. of Rs],"&lt;0")</f>
        <v>73</v>
      </c>
      <c r="G9" s="32">
        <f>IFERROR((F9/$F$6),"")</f>
        <v>0.5934959349593496</v>
      </c>
      <c r="H9" s="79">
        <f>IFERROR((-Q13/F9),"")</f>
        <v>0.82671232876712319</v>
      </c>
      <c r="I9" s="207"/>
      <c r="J9" s="207"/>
      <c r="K9" s="127"/>
      <c r="L9" s="208" t="s">
        <v>95</v>
      </c>
      <c r="M9" s="209"/>
      <c r="N9" s="103">
        <f ca="1">MAX(Tabla336106734811[Drawdown])</f>
        <v>7.1599940020992653E-2</v>
      </c>
      <c r="O9" s="16"/>
      <c r="P9" s="141"/>
      <c r="Q9" s="142" t="s">
        <v>60</v>
      </c>
      <c r="R9" s="142"/>
      <c r="S9" s="143"/>
      <c r="T9" s="143"/>
      <c r="U9" s="144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86"/>
      <c r="AD9" s="141"/>
      <c r="AE9" s="141"/>
      <c r="AF9" s="11" t="s">
        <v>32</v>
      </c>
      <c r="AG9" s="13" t="s">
        <v>34</v>
      </c>
    </row>
    <row r="10" spans="1:48" ht="15" customHeight="1" thickBot="1" x14ac:dyDescent="0.2">
      <c r="B10" s="117"/>
      <c r="C10" s="118"/>
      <c r="D10" s="126"/>
      <c r="E10" s="127"/>
      <c r="F10" s="117"/>
      <c r="G10" s="141"/>
      <c r="H10" s="141"/>
      <c r="I10" s="141"/>
      <c r="J10" s="141"/>
      <c r="K10" s="155"/>
      <c r="L10" s="208" t="s">
        <v>99</v>
      </c>
      <c r="M10" s="209"/>
      <c r="N10" s="103" t="str">
        <f ca="1">OFFSET(Tabla336106734811[[#Headers],[Drawdown]],1,0)</f>
        <v/>
      </c>
      <c r="O10" s="25"/>
      <c r="P10" s="141"/>
      <c r="Q10" s="141"/>
      <c r="R10" s="141"/>
      <c r="S10" s="145"/>
      <c r="T10" s="145"/>
      <c r="U10" s="146"/>
      <c r="V10" s="37" t="s">
        <v>53</v>
      </c>
      <c r="W10" s="38"/>
      <c r="X10" s="38">
        <f>COUNTIF(Tabla336106734811[Heat],"&lt;0")</f>
        <v>0</v>
      </c>
      <c r="Y10" s="38"/>
      <c r="Z10" s="39" t="s">
        <v>54</v>
      </c>
      <c r="AA10" s="38"/>
      <c r="AB10" s="38"/>
      <c r="AC10" s="38"/>
      <c r="AD10" s="141"/>
      <c r="AE10" s="141"/>
      <c r="AF10" s="20"/>
      <c r="AG10" s="22"/>
    </row>
    <row r="11" spans="1:48" ht="15" customHeight="1" thickBot="1" x14ac:dyDescent="0.2">
      <c r="B11" s="117"/>
      <c r="C11" s="118"/>
      <c r="D11" s="126"/>
      <c r="E11" s="111" t="s">
        <v>64</v>
      </c>
      <c r="F11" s="81">
        <v>25000</v>
      </c>
      <c r="G11" s="141"/>
      <c r="H11" s="192" t="s">
        <v>46</v>
      </c>
      <c r="I11" s="193"/>
      <c r="J11" s="80">
        <v>12</v>
      </c>
      <c r="K11" s="141"/>
      <c r="L11" s="141"/>
      <c r="M11" s="141"/>
      <c r="N11" s="141"/>
      <c r="O11" s="141"/>
      <c r="P11" s="141"/>
      <c r="Q11" s="141"/>
      <c r="R11" s="141"/>
      <c r="S11" s="145"/>
      <c r="T11" s="145"/>
      <c r="U11" s="146"/>
      <c r="V11" s="141"/>
      <c r="W11" s="141"/>
      <c r="X11" s="141"/>
      <c r="Y11" s="141"/>
      <c r="Z11" s="141"/>
      <c r="AA11" s="141"/>
      <c r="AB11" s="141"/>
      <c r="AC11" s="3"/>
      <c r="AD11" s="153"/>
      <c r="AE11" s="153"/>
      <c r="AF11" s="153"/>
      <c r="AG11" s="141"/>
      <c r="AH11" s="141"/>
    </row>
    <row r="12" spans="1:48" ht="15" customHeight="1" thickBot="1" x14ac:dyDescent="0.2">
      <c r="B12" s="117"/>
      <c r="C12" s="118"/>
      <c r="D12" s="117"/>
      <c r="E12" s="128"/>
      <c r="F12" s="117"/>
      <c r="G12" s="141"/>
      <c r="H12" s="194" t="s">
        <v>65</v>
      </c>
      <c r="I12" s="195"/>
      <c r="J12" s="82" t="str">
        <f>IF(COUNTIFS(Tabla336106734811[O/C],"O")&lt;1,"None",COUNTIFS(Tabla336106734811[O/C],"O"))</f>
        <v>None</v>
      </c>
      <c r="K12" s="155"/>
      <c r="L12" s="117"/>
      <c r="M12" s="117"/>
      <c r="N12" s="117"/>
      <c r="O12" s="117"/>
      <c r="P12" s="117"/>
      <c r="Q12" s="117"/>
      <c r="R12" s="117"/>
      <c r="S12" s="132"/>
      <c r="T12" s="132"/>
      <c r="U12" s="133"/>
      <c r="V12" s="141"/>
      <c r="W12" s="150"/>
      <c r="X12" s="151"/>
      <c r="Y12" s="151"/>
      <c r="Z12" s="152"/>
      <c r="AA12" s="151"/>
      <c r="AB12" s="152"/>
      <c r="AC12" s="40"/>
      <c r="AD12" s="196" t="s">
        <v>42</v>
      </c>
      <c r="AE12" s="197"/>
      <c r="AF12" s="197"/>
      <c r="AG12" s="198"/>
      <c r="AP12" s="89"/>
      <c r="AQ12" s="89"/>
      <c r="AR12" s="89"/>
      <c r="AS12" s="89"/>
      <c r="AT12" s="89"/>
      <c r="AV12" s="88" t="s">
        <v>12</v>
      </c>
    </row>
    <row r="13" spans="1:48" ht="15" customHeight="1" thickBot="1" x14ac:dyDescent="0.2">
      <c r="B13" s="117"/>
      <c r="C13" s="118"/>
      <c r="D13" s="117"/>
      <c r="E13" s="112" t="s">
        <v>0</v>
      </c>
      <c r="F13" s="41" t="str">
        <f>IF((+F6-SUM(F7:F9))&lt;&gt;0,"ERROR!!","OK")</f>
        <v>OK</v>
      </c>
      <c r="G13" s="141"/>
      <c r="H13" s="141"/>
      <c r="I13" s="141"/>
      <c r="J13" s="156"/>
      <c r="K13" s="155"/>
      <c r="L13" s="117"/>
      <c r="M13" s="117"/>
      <c r="N13" s="74">
        <f>SUM(Tabla336106734811[No. of Rs])</f>
        <v>36.850000000000009</v>
      </c>
      <c r="O13" s="42">
        <f>SUM(Tabla336106734811[Heat])</f>
        <v>0</v>
      </c>
      <c r="P13" s="43">
        <f>SUM(Tabla336106734811[[ TR WIN]])</f>
        <v>97.2</v>
      </c>
      <c r="Q13" s="43">
        <f>SUM(Tabla336106734811[[ TR LOSS]])</f>
        <v>-60.349999999999994</v>
      </c>
      <c r="R13" s="92"/>
      <c r="S13" s="93"/>
      <c r="T13" s="93"/>
      <c r="U13" s="99"/>
      <c r="V13" s="44">
        <f>SUM(Tabla336106734811[Currency])</f>
        <v>0</v>
      </c>
      <c r="W13" s="44">
        <f>SUM(Tabla336106734811[Heat3])</f>
        <v>0</v>
      </c>
      <c r="X13" s="44">
        <f>SUM(Tabla336106734811[Commodities])</f>
        <v>0</v>
      </c>
      <c r="Y13" s="44">
        <f>SUM(Tabla336106734811[Heat4])</f>
        <v>0</v>
      </c>
      <c r="Z13" s="44">
        <f>SUM(Tabla336106734811[Index])</f>
        <v>36.850000000000009</v>
      </c>
      <c r="AA13" s="44">
        <f>SUM(Tabla336106734811[Heat5])</f>
        <v>0</v>
      </c>
      <c r="AB13" s="44">
        <f>SUM(Tabla336106734811[Cryptocurrency])</f>
        <v>0</v>
      </c>
      <c r="AC13" s="44">
        <f>SUM(Tabla336106734811[Heat6])</f>
        <v>0</v>
      </c>
      <c r="AD13" s="75">
        <f>AVERAGEIF(Tabla336106734811[Length of 
Trade],"&lt;&gt;0")</f>
        <v>0.76580849141843155</v>
      </c>
      <c r="AE13" s="75">
        <f>AVERAGEIF(Tabla336106734811[Win],"&lt;&gt;0")</f>
        <v>1.1786111111113859</v>
      </c>
      <c r="AF13" s="75">
        <f>AVERAGEIF(Tabla336106734811[Loss],"&lt;&gt;0")</f>
        <v>0.48306697108079155</v>
      </c>
      <c r="AG13" s="76" t="e">
        <f>AVERAGEIF(Tabla336106734811[Breakeven],"&lt;&gt;0")</f>
        <v>#DIV/0!</v>
      </c>
      <c r="AP13" s="89"/>
      <c r="AV13" s="88" t="s">
        <v>11</v>
      </c>
    </row>
    <row r="14" spans="1:48" ht="15" customHeight="1" thickBot="1" x14ac:dyDescent="0.2">
      <c r="B14" s="117"/>
      <c r="C14" s="118"/>
      <c r="D14" s="117"/>
      <c r="E14" s="127"/>
      <c r="F14" s="129"/>
      <c r="G14" s="157"/>
      <c r="H14" s="157"/>
      <c r="I14" s="157"/>
      <c r="J14" s="157"/>
      <c r="K14" s="158"/>
      <c r="L14" s="129"/>
      <c r="M14" s="129"/>
      <c r="N14" s="129"/>
      <c r="O14" s="129"/>
      <c r="P14" s="129"/>
      <c r="Q14" s="129"/>
      <c r="R14" s="129"/>
      <c r="S14" s="130"/>
      <c r="T14" s="130"/>
      <c r="U14" s="131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</row>
    <row r="15" spans="1:48" s="90" customFormat="1" ht="43" thickBot="1" x14ac:dyDescent="0.2">
      <c r="A15" s="118"/>
      <c r="B15" s="45" t="s">
        <v>29</v>
      </c>
      <c r="C15" s="46" t="s">
        <v>28</v>
      </c>
      <c r="D15" s="45" t="s">
        <v>35</v>
      </c>
      <c r="E15" s="113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05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97" t="s">
        <v>98</v>
      </c>
      <c r="S15" s="94" t="s">
        <v>93</v>
      </c>
      <c r="T15" s="104" t="s">
        <v>96</v>
      </c>
      <c r="U15" s="100" t="s">
        <v>94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75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18"/>
      <c r="AI15" s="87"/>
    </row>
    <row r="16" spans="1:48" s="90" customFormat="1" ht="42" hidden="1" x14ac:dyDescent="0.15">
      <c r="A16" s="118"/>
      <c r="B16" s="60" t="s">
        <v>29</v>
      </c>
      <c r="C16" s="61" t="s">
        <v>28</v>
      </c>
      <c r="D16" s="62" t="s">
        <v>35</v>
      </c>
      <c r="E16" s="114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06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98" t="s">
        <v>98</v>
      </c>
      <c r="S16" s="95" t="s">
        <v>93</v>
      </c>
      <c r="T16" s="95" t="s">
        <v>96</v>
      </c>
      <c r="U16" s="101" t="s">
        <v>94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75</v>
      </c>
      <c r="AC16" s="68" t="s">
        <v>92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54"/>
      <c r="AI16" s="87"/>
    </row>
    <row r="17" spans="1:35" s="90" customFormat="1" ht="14" x14ac:dyDescent="0.15">
      <c r="A17" s="118"/>
      <c r="B17" s="174" t="s">
        <v>5</v>
      </c>
      <c r="C17" s="175" t="s">
        <v>15</v>
      </c>
      <c r="D17" s="176" t="str">
        <f t="shared" ref="D17:D48" si="0">IF(E17&lt;&gt;"",IF(K17&lt;&gt;"","C","O"),"")</f>
        <v>C</v>
      </c>
      <c r="E17" s="177" t="d">
        <v>2021-12-22T17:45:00.00000020954757600</v>
      </c>
      <c r="F17" s="178" t="s">
        <v>81</v>
      </c>
      <c r="G17" s="179">
        <v>16058.04</v>
      </c>
      <c r="H17" s="179">
        <v>15973.21</v>
      </c>
      <c r="I17" s="180">
        <f t="shared" ref="I17:I48" si="1">ABS(G17-H17)</f>
        <v>84.830000000001746</v>
      </c>
      <c r="J17" s="179">
        <v>16567</v>
      </c>
      <c r="K17" s="177" t="d">
        <v>2021-12-27T23:01:59.99999997206032275</v>
      </c>
      <c r="L17" s="179">
        <v>16567</v>
      </c>
      <c r="M17" s="181">
        <f t="shared" ref="M17:M48" si="2">ROUND(IF(C17="L",(L17-G17),(G17-L17)),4)</f>
        <v>508.96</v>
      </c>
      <c r="N17" s="182">
        <f t="shared" ref="N17:N48" si="3">IFERROR(ROUND((M17/I17),2),"")</f>
        <v>6</v>
      </c>
      <c r="O17" s="183">
        <f t="shared" ref="O17:O48" si="4">IF(D17="O",IF(N17&lt;0,N17,0),0)</f>
        <v>0</v>
      </c>
      <c r="P17" s="184">
        <f t="shared" ref="P17:P48" si="5">IF(N17&gt;= 0,N17,0)</f>
        <v>6</v>
      </c>
      <c r="Q17" s="184">
        <f t="shared" ref="Q17:Q48" si="6">IF(N17&lt;0,N17,0)</f>
        <v>0</v>
      </c>
      <c r="R1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34212.5</v>
      </c>
      <c r="T1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34212.5</v>
      </c>
      <c r="U17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7" s="187">
        <f t="shared" ref="V17:V48" si="7">IF(B17="FX",N17,0)</f>
        <v>0</v>
      </c>
      <c r="W17" s="187">
        <f t="shared" ref="W17:W48" si="8">IF(D17="O",IF(V17&lt;0,V17,0),0)</f>
        <v>0</v>
      </c>
      <c r="X17" s="187">
        <f t="shared" ref="X17:X48" si="9">IF(B17="COM",N17,0)</f>
        <v>0</v>
      </c>
      <c r="Y17" s="187">
        <f t="shared" ref="Y17:Y48" si="10">IF(D17="O",IF(X17&lt;0,X17,0),0)</f>
        <v>0</v>
      </c>
      <c r="Z17" s="187">
        <f t="shared" ref="Z17:Z48" si="11">IF(B17="IND",N17,0)</f>
        <v>6</v>
      </c>
      <c r="AA17" s="183">
        <f t="shared" ref="AA17:AA48" si="12">IF(D17="O",IF(Z17&lt;0,Z17,0),0)</f>
        <v>0</v>
      </c>
      <c r="AB17" s="187">
        <f t="shared" ref="AB17:AB48" si="13">IF(B17="CRYPTO",N17,0)</f>
        <v>0</v>
      </c>
      <c r="AC17" s="183">
        <f t="shared" ref="AC17:AC48" si="14">IF(D17="O",IF(AB17&lt;0,AB17,0),0)</f>
        <v>0</v>
      </c>
      <c r="AD17" s="188">
        <f t="shared" ref="AD17:AD48" si="15">IF(K17&lt;&gt;"",K17-E17,0)</f>
        <v>5.2201388888861402</v>
      </c>
      <c r="AE17" s="188">
        <f t="shared" ref="AE17:AE48" si="16">IF(N17&gt;0,AD17,0)</f>
        <v>5.2201388888861402</v>
      </c>
      <c r="AF17" s="188">
        <f t="shared" ref="AF17:AF48" si="17">IF(N17&lt;0,AD17,0)</f>
        <v>0</v>
      </c>
      <c r="AG17" s="188">
        <f t="shared" ref="AG17:AG48" si="18">IF(N17=0,AD17,0)</f>
        <v>0</v>
      </c>
      <c r="AH17" s="154"/>
      <c r="AI17" s="87"/>
    </row>
    <row r="18" spans="1:35" ht="15" customHeight="1" x14ac:dyDescent="0.15">
      <c r="B18" s="174" t="s">
        <v>5</v>
      </c>
      <c r="C18" s="175" t="s">
        <v>13</v>
      </c>
      <c r="D18" s="176" t="str">
        <f t="shared" si="0"/>
        <v>C</v>
      </c>
      <c r="E18" s="177" t="d">
        <v>2021-12-20T04:15:00.00000020954757600</v>
      </c>
      <c r="F18" s="178" t="s">
        <v>81</v>
      </c>
      <c r="G18" s="179">
        <v>15632.61</v>
      </c>
      <c r="H18" s="179">
        <v>15751.55</v>
      </c>
      <c r="I18" s="180">
        <f t="shared" si="1"/>
        <v>118.93999999999869</v>
      </c>
      <c r="J18" s="179">
        <v>14918.99</v>
      </c>
      <c r="K18" s="177" t="d">
        <v>2021-12-21T01:22:59.99999988824129100</v>
      </c>
      <c r="L18" s="179">
        <v>15701.49</v>
      </c>
      <c r="M18" s="181">
        <f t="shared" si="2"/>
        <v>-68.88</v>
      </c>
      <c r="N18" s="182">
        <f t="shared" si="3"/>
        <v>-0.57999999999999996</v>
      </c>
      <c r="O18" s="183">
        <f t="shared" si="4"/>
        <v>0</v>
      </c>
      <c r="P18" s="184">
        <f t="shared" si="5"/>
        <v>0</v>
      </c>
      <c r="Q18" s="184">
        <f t="shared" si="6"/>
        <v>-0.57999999999999996</v>
      </c>
      <c r="R1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32712.5</v>
      </c>
      <c r="T1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18" s="186">
        <f ca="1">IF(Tabla336106734811[[#This Row],[Equity]]&lt;Tabla336106734811[[#This Row],[Equity Peak]],(Tabla336106734811[[#This Row],[Equity Peak]]-Tabla336106734811[[#This Row],[Equity]])/Tabla336106734811[[#This Row],[Equity Peak]],"")</f>
        <v>1.8968361073624231E-2</v>
      </c>
      <c r="V18" s="187">
        <f t="shared" si="7"/>
        <v>0</v>
      </c>
      <c r="W18" s="187">
        <f t="shared" si="8"/>
        <v>0</v>
      </c>
      <c r="X18" s="187">
        <f t="shared" si="9"/>
        <v>0</v>
      </c>
      <c r="Y18" s="187">
        <f t="shared" si="10"/>
        <v>0</v>
      </c>
      <c r="Z18" s="187">
        <f t="shared" si="11"/>
        <v>-0.57999999999999996</v>
      </c>
      <c r="AA18" s="183">
        <f t="shared" si="12"/>
        <v>0</v>
      </c>
      <c r="AB18" s="187">
        <f t="shared" si="13"/>
        <v>0</v>
      </c>
      <c r="AC18" s="183">
        <f t="shared" si="14"/>
        <v>0</v>
      </c>
      <c r="AD18" s="188">
        <f t="shared" si="15"/>
        <v>0.88055555555183673</v>
      </c>
      <c r="AE18" s="188">
        <f t="shared" si="16"/>
        <v>0</v>
      </c>
      <c r="AF18" s="188">
        <f t="shared" si="17"/>
        <v>0.88055555555183673</v>
      </c>
      <c r="AG18" s="188">
        <f t="shared" si="18"/>
        <v>0</v>
      </c>
    </row>
    <row r="19" spans="1:35" ht="15" customHeight="1" x14ac:dyDescent="0.15">
      <c r="B19" s="174" t="s">
        <v>5</v>
      </c>
      <c r="C19" s="175" t="s">
        <v>13</v>
      </c>
      <c r="D19" s="176" t="str">
        <f t="shared" si="0"/>
        <v>C</v>
      </c>
      <c r="E19" s="177" t="d">
        <v>2021-12-17T11:15:00.000</v>
      </c>
      <c r="F19" s="178" t="s">
        <v>81</v>
      </c>
      <c r="G19" s="179">
        <v>15708.75</v>
      </c>
      <c r="H19" s="179">
        <v>15813.48</v>
      </c>
      <c r="I19" s="180">
        <f t="shared" si="1"/>
        <v>104.72999999999956</v>
      </c>
      <c r="J19" s="179">
        <v>15080.35</v>
      </c>
      <c r="K19" s="177" t="d">
        <v>2021-12-17T16:50:00.00000013969838625</v>
      </c>
      <c r="L19" s="179">
        <v>15813.48</v>
      </c>
      <c r="M19" s="181">
        <f t="shared" si="2"/>
        <v>-104.73</v>
      </c>
      <c r="N19" s="182">
        <f t="shared" si="3"/>
        <v>-1</v>
      </c>
      <c r="O19" s="183">
        <f t="shared" si="4"/>
        <v>0</v>
      </c>
      <c r="P19" s="184">
        <f t="shared" si="5"/>
        <v>0</v>
      </c>
      <c r="Q19" s="184">
        <f t="shared" si="6"/>
        <v>-1</v>
      </c>
      <c r="R1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32857.5</v>
      </c>
      <c r="T1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19" s="186">
        <f ca="1">IF(Tabla336106734811[[#This Row],[Equity]]&lt;Tabla336106734811[[#This Row],[Equity Peak]],(Tabla336106734811[[#This Row],[Equity Peak]]-Tabla336106734811[[#This Row],[Equity]])/Tabla336106734811[[#This Row],[Equity Peak]],"")</f>
        <v>1.4619883040935672E-2</v>
      </c>
      <c r="V19" s="187">
        <f t="shared" si="7"/>
        <v>0</v>
      </c>
      <c r="W19" s="187">
        <f t="shared" si="8"/>
        <v>0</v>
      </c>
      <c r="X19" s="187">
        <f t="shared" si="9"/>
        <v>0</v>
      </c>
      <c r="Y19" s="187">
        <f t="shared" si="10"/>
        <v>0</v>
      </c>
      <c r="Z19" s="187">
        <f t="shared" si="11"/>
        <v>-1</v>
      </c>
      <c r="AA19" s="183">
        <f t="shared" si="12"/>
        <v>0</v>
      </c>
      <c r="AB19" s="187">
        <f t="shared" si="13"/>
        <v>0</v>
      </c>
      <c r="AC19" s="183">
        <f t="shared" si="14"/>
        <v>0</v>
      </c>
      <c r="AD19" s="188">
        <f t="shared" si="15"/>
        <v>0.23263888889050577</v>
      </c>
      <c r="AE19" s="188">
        <f t="shared" si="16"/>
        <v>0</v>
      </c>
      <c r="AF19" s="188">
        <f t="shared" si="17"/>
        <v>0.23263888889050577</v>
      </c>
      <c r="AG19" s="188">
        <f t="shared" si="18"/>
        <v>0</v>
      </c>
    </row>
    <row r="20" spans="1:35" ht="15" customHeight="1" x14ac:dyDescent="0.15">
      <c r="B20" s="174" t="s">
        <v>5</v>
      </c>
      <c r="C20" s="175" t="s">
        <v>15</v>
      </c>
      <c r="D20" s="176" t="str">
        <f t="shared" si="0"/>
        <v>C</v>
      </c>
      <c r="E20" s="177" t="d">
        <v>2021-12-15T22:30:00.000</v>
      </c>
      <c r="F20" s="178" t="s">
        <v>81</v>
      </c>
      <c r="G20" s="179">
        <v>16208.62</v>
      </c>
      <c r="H20" s="179">
        <v>16120</v>
      </c>
      <c r="I20" s="180">
        <f t="shared" si="1"/>
        <v>88.6200000000008</v>
      </c>
      <c r="J20" s="179">
        <v>16740.310000000001</v>
      </c>
      <c r="K20" s="177" t="d">
        <v>2021-12-16T15:14:59.99999979045242400</v>
      </c>
      <c r="L20" s="179">
        <v>16356.68</v>
      </c>
      <c r="M20" s="181">
        <f t="shared" si="2"/>
        <v>148.06</v>
      </c>
      <c r="N20" s="182">
        <f t="shared" si="3"/>
        <v>1.67</v>
      </c>
      <c r="O20" s="183">
        <f t="shared" si="4"/>
        <v>0</v>
      </c>
      <c r="P20" s="184">
        <f t="shared" si="5"/>
        <v>1.67</v>
      </c>
      <c r="Q20" s="184">
        <f t="shared" si="6"/>
        <v>0</v>
      </c>
      <c r="R2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33107.5</v>
      </c>
      <c r="T2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20" s="186">
        <f ca="1">IF(Tabla336106734811[[#This Row],[Equity]]&lt;Tabla336106734811[[#This Row],[Equity Peak]],(Tabla336106734811[[#This Row],[Equity Peak]]-Tabla336106734811[[#This Row],[Equity]])/Tabla336106734811[[#This Row],[Equity Peak]],"")</f>
        <v>7.1225071225071226E-3</v>
      </c>
      <c r="V20" s="187">
        <f t="shared" si="7"/>
        <v>0</v>
      </c>
      <c r="W20" s="187">
        <f t="shared" si="8"/>
        <v>0</v>
      </c>
      <c r="X20" s="187">
        <f t="shared" si="9"/>
        <v>0</v>
      </c>
      <c r="Y20" s="187">
        <f t="shared" si="10"/>
        <v>0</v>
      </c>
      <c r="Z20" s="187">
        <f t="shared" si="11"/>
        <v>1.67</v>
      </c>
      <c r="AA20" s="183">
        <f t="shared" si="12"/>
        <v>0</v>
      </c>
      <c r="AB20" s="187">
        <f t="shared" si="13"/>
        <v>0</v>
      </c>
      <c r="AC20" s="183">
        <f t="shared" si="14"/>
        <v>0</v>
      </c>
      <c r="AD20" s="188">
        <f t="shared" si="15"/>
        <v>0.69791666666424135</v>
      </c>
      <c r="AE20" s="188">
        <f t="shared" si="16"/>
        <v>0.69791666666424135</v>
      </c>
      <c r="AF20" s="188">
        <f t="shared" si="17"/>
        <v>0</v>
      </c>
      <c r="AG20" s="188">
        <f t="shared" si="18"/>
        <v>0</v>
      </c>
    </row>
    <row r="21" spans="1:35" ht="15" customHeight="1" x14ac:dyDescent="0.15">
      <c r="B21" s="174" t="s">
        <v>5</v>
      </c>
      <c r="C21" s="175" t="s">
        <v>13</v>
      </c>
      <c r="D21" s="176" t="str">
        <f t="shared" si="0"/>
        <v>C</v>
      </c>
      <c r="E21" s="177" t="d">
        <v>2021-12-13T23:00:00.00000020954757600</v>
      </c>
      <c r="F21" s="178" t="s">
        <v>81</v>
      </c>
      <c r="G21" s="179">
        <v>16088.62</v>
      </c>
      <c r="H21" s="179">
        <v>16157.86</v>
      </c>
      <c r="I21" s="180">
        <f t="shared" si="1"/>
        <v>69.239999999999782</v>
      </c>
      <c r="J21" s="179">
        <v>15673.19</v>
      </c>
      <c r="K21" s="177" t="d">
        <v>2021-12-14T16:37:00.00000011175870900</v>
      </c>
      <c r="L21" s="179">
        <v>15955.54</v>
      </c>
      <c r="M21" s="181">
        <f t="shared" si="2"/>
        <v>133.08000000000001</v>
      </c>
      <c r="N21" s="182">
        <f t="shared" si="3"/>
        <v>1.92</v>
      </c>
      <c r="O21" s="183">
        <f t="shared" si="4"/>
        <v>0</v>
      </c>
      <c r="P21" s="184">
        <f t="shared" si="5"/>
        <v>1.92</v>
      </c>
      <c r="Q21" s="184">
        <f t="shared" si="6"/>
        <v>0</v>
      </c>
      <c r="R2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32690</v>
      </c>
      <c r="T2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21" s="186">
        <f ca="1">IF(Tabla336106734811[[#This Row],[Equity]]&lt;Tabla336106734811[[#This Row],[Equity Peak]],(Tabla336106734811[[#This Row],[Equity Peak]]-Tabla336106734811[[#This Row],[Equity]])/Tabla336106734811[[#This Row],[Equity Peak]],"")</f>
        <v>1.96431249062828E-2</v>
      </c>
      <c r="V21" s="187">
        <f t="shared" si="7"/>
        <v>0</v>
      </c>
      <c r="W21" s="187">
        <f t="shared" si="8"/>
        <v>0</v>
      </c>
      <c r="X21" s="187">
        <f t="shared" si="9"/>
        <v>0</v>
      </c>
      <c r="Y21" s="187">
        <f t="shared" si="10"/>
        <v>0</v>
      </c>
      <c r="Z21" s="187">
        <f t="shared" si="11"/>
        <v>1.92</v>
      </c>
      <c r="AA21" s="183">
        <f t="shared" si="12"/>
        <v>0</v>
      </c>
      <c r="AB21" s="187">
        <f t="shared" si="13"/>
        <v>0</v>
      </c>
      <c r="AC21" s="183">
        <f t="shared" si="14"/>
        <v>0</v>
      </c>
      <c r="AD21" s="188">
        <f t="shared" si="15"/>
        <v>0.73402777777664596</v>
      </c>
      <c r="AE21" s="188">
        <f t="shared" si="16"/>
        <v>0.73402777777664596</v>
      </c>
      <c r="AF21" s="188">
        <f t="shared" si="17"/>
        <v>0</v>
      </c>
      <c r="AG21" s="188">
        <f t="shared" si="18"/>
        <v>0</v>
      </c>
    </row>
    <row r="22" spans="1:35" ht="15" customHeight="1" x14ac:dyDescent="0.15">
      <c r="B22" s="174" t="s">
        <v>5</v>
      </c>
      <c r="C22" s="175" t="s">
        <v>13</v>
      </c>
      <c r="D22" s="176" t="str">
        <f t="shared" si="0"/>
        <v>C</v>
      </c>
      <c r="E22" s="177" t="d">
        <v>2021-12-09T23:15:00.000</v>
      </c>
      <c r="F22" s="178" t="s">
        <v>81</v>
      </c>
      <c r="G22" s="179">
        <v>16135.9</v>
      </c>
      <c r="H22" s="179">
        <v>16206.54</v>
      </c>
      <c r="I22" s="180">
        <f t="shared" si="1"/>
        <v>70.640000000001237</v>
      </c>
      <c r="J22" s="179">
        <v>15712.08</v>
      </c>
      <c r="K22" s="177" t="d">
        <v>2021-12-10T13:08:00.000000097788870375</v>
      </c>
      <c r="L22" s="179">
        <v>16206.54</v>
      </c>
      <c r="M22" s="181">
        <f t="shared" si="2"/>
        <v>-70.64</v>
      </c>
      <c r="N22" s="182">
        <f t="shared" si="3"/>
        <v>-1</v>
      </c>
      <c r="O22" s="183">
        <f t="shared" si="4"/>
        <v>0</v>
      </c>
      <c r="P22" s="184">
        <f t="shared" si="5"/>
        <v>0</v>
      </c>
      <c r="Q22" s="184">
        <f t="shared" si="6"/>
        <v>-1</v>
      </c>
      <c r="R2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32210</v>
      </c>
      <c r="T2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22" s="186">
        <f ca="1">IF(Tabla336106734811[[#This Row],[Equity]]&lt;Tabla336106734811[[#This Row],[Equity Peak]],(Tabla336106734811[[#This Row],[Equity Peak]]-Tabla336106734811[[#This Row],[Equity]])/Tabla336106734811[[#This Row],[Equity Peak]],"")</f>
        <v>3.4038086669665617E-2</v>
      </c>
      <c r="V22" s="187">
        <f t="shared" si="7"/>
        <v>0</v>
      </c>
      <c r="W22" s="187">
        <f t="shared" si="8"/>
        <v>0</v>
      </c>
      <c r="X22" s="187">
        <f t="shared" si="9"/>
        <v>0</v>
      </c>
      <c r="Y22" s="187">
        <f t="shared" si="10"/>
        <v>0</v>
      </c>
      <c r="Z22" s="187">
        <f t="shared" si="11"/>
        <v>-1</v>
      </c>
      <c r="AA22" s="183">
        <f t="shared" si="12"/>
        <v>0</v>
      </c>
      <c r="AB22" s="187">
        <f t="shared" si="13"/>
        <v>0</v>
      </c>
      <c r="AC22" s="183">
        <f t="shared" si="14"/>
        <v>0</v>
      </c>
      <c r="AD22" s="188">
        <f t="shared" si="15"/>
        <v>0.57847222222335404</v>
      </c>
      <c r="AE22" s="188">
        <f t="shared" si="16"/>
        <v>0</v>
      </c>
      <c r="AF22" s="188">
        <f t="shared" si="17"/>
        <v>0.57847222222335404</v>
      </c>
      <c r="AG22" s="188">
        <f t="shared" si="18"/>
        <v>0</v>
      </c>
    </row>
    <row r="23" spans="1:35" ht="15" customHeight="1" x14ac:dyDescent="0.15">
      <c r="B23" s="174" t="s">
        <v>5</v>
      </c>
      <c r="C23" s="175" t="s">
        <v>15</v>
      </c>
      <c r="D23" s="176" t="str">
        <f t="shared" si="0"/>
        <v>C</v>
      </c>
      <c r="E23" s="177" t="d">
        <v>2021-12-07T11:15:00.000</v>
      </c>
      <c r="F23" s="178" t="s">
        <v>81</v>
      </c>
      <c r="G23" s="179">
        <v>16115.84</v>
      </c>
      <c r="H23" s="179">
        <v>16001.98</v>
      </c>
      <c r="I23" s="180">
        <f t="shared" si="1"/>
        <v>113.86000000000058</v>
      </c>
      <c r="J23" s="179">
        <v>16799</v>
      </c>
      <c r="K23" s="177" t="d">
        <v>2021-12-08T15:40:59.99999984633177850</v>
      </c>
      <c r="L23" s="179">
        <v>16322.04</v>
      </c>
      <c r="M23" s="181">
        <f t="shared" si="2"/>
        <v>206.2</v>
      </c>
      <c r="N23" s="182">
        <f t="shared" si="3"/>
        <v>1.81</v>
      </c>
      <c r="O23" s="183">
        <f t="shared" si="4"/>
        <v>0</v>
      </c>
      <c r="P23" s="184">
        <f t="shared" si="5"/>
        <v>1.81</v>
      </c>
      <c r="Q23" s="184">
        <f t="shared" si="6"/>
        <v>0</v>
      </c>
      <c r="R2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32460</v>
      </c>
      <c r="T2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23" s="186">
        <f ca="1">IF(Tabla336106734811[[#This Row],[Equity]]&lt;Tabla336106734811[[#This Row],[Equity Peak]],(Tabla336106734811[[#This Row],[Equity Peak]]-Tabla336106734811[[#This Row],[Equity]])/Tabla336106734811[[#This Row],[Equity Peak]],"")</f>
        <v>2.6540710751237068E-2</v>
      </c>
      <c r="V23" s="187">
        <f t="shared" si="7"/>
        <v>0</v>
      </c>
      <c r="W23" s="187">
        <f t="shared" si="8"/>
        <v>0</v>
      </c>
      <c r="X23" s="187">
        <f t="shared" si="9"/>
        <v>0</v>
      </c>
      <c r="Y23" s="187">
        <f t="shared" si="10"/>
        <v>0</v>
      </c>
      <c r="Z23" s="187">
        <f t="shared" si="11"/>
        <v>1.81</v>
      </c>
      <c r="AA23" s="183">
        <f t="shared" si="12"/>
        <v>0</v>
      </c>
      <c r="AB23" s="187">
        <f t="shared" si="13"/>
        <v>0</v>
      </c>
      <c r="AC23" s="183">
        <f t="shared" si="14"/>
        <v>0</v>
      </c>
      <c r="AD23" s="188">
        <f t="shared" si="15"/>
        <v>1.1847222222204437</v>
      </c>
      <c r="AE23" s="188">
        <f t="shared" si="16"/>
        <v>1.1847222222204437</v>
      </c>
      <c r="AF23" s="188">
        <f t="shared" si="17"/>
        <v>0</v>
      </c>
      <c r="AG23" s="188">
        <f t="shared" si="18"/>
        <v>0</v>
      </c>
    </row>
    <row r="24" spans="1:35" ht="15" customHeight="1" x14ac:dyDescent="0.15">
      <c r="B24" s="174" t="s">
        <v>5</v>
      </c>
      <c r="C24" s="175" t="s">
        <v>13</v>
      </c>
      <c r="D24" s="176" t="str">
        <f t="shared" si="0"/>
        <v>C</v>
      </c>
      <c r="E24" s="177" t="d">
        <v>2021-12-03T17:45:00.00000020954757600</v>
      </c>
      <c r="F24" s="178" t="s">
        <v>81</v>
      </c>
      <c r="G24" s="179">
        <v>15683.96</v>
      </c>
      <c r="H24" s="179">
        <v>15819.3</v>
      </c>
      <c r="I24" s="180">
        <f t="shared" si="1"/>
        <v>135.34000000000015</v>
      </c>
      <c r="J24" s="179">
        <v>14871.94</v>
      </c>
      <c r="K24" s="177" t="d">
        <v>2021-12-06T10:08:00.000000097788870375</v>
      </c>
      <c r="L24" s="179">
        <v>15775.47</v>
      </c>
      <c r="M24" s="181">
        <f t="shared" si="2"/>
        <v>-91.51</v>
      </c>
      <c r="N24" s="182">
        <f t="shared" si="3"/>
        <v>-0.68</v>
      </c>
      <c r="O24" s="183">
        <f t="shared" si="4"/>
        <v>0</v>
      </c>
      <c r="P24" s="184">
        <f t="shared" si="5"/>
        <v>0</v>
      </c>
      <c r="Q24" s="184">
        <f t="shared" si="6"/>
        <v>-0.68</v>
      </c>
      <c r="R2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32007.5</v>
      </c>
      <c r="T2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24" s="186">
        <f ca="1">IF(Tabla336106734811[[#This Row],[Equity]]&lt;Tabla336106734811[[#This Row],[Equity Peak]],(Tabla336106734811[[#This Row],[Equity Peak]]-Tabla336106734811[[#This Row],[Equity]])/Tabla336106734811[[#This Row],[Equity Peak]],"")</f>
        <v>4.0110961163592744E-2</v>
      </c>
      <c r="V24" s="187">
        <f t="shared" si="7"/>
        <v>0</v>
      </c>
      <c r="W24" s="187">
        <f t="shared" si="8"/>
        <v>0</v>
      </c>
      <c r="X24" s="187">
        <f t="shared" si="9"/>
        <v>0</v>
      </c>
      <c r="Y24" s="187">
        <f t="shared" si="10"/>
        <v>0</v>
      </c>
      <c r="Z24" s="187">
        <f t="shared" si="11"/>
        <v>-0.68</v>
      </c>
      <c r="AA24" s="183">
        <f t="shared" si="12"/>
        <v>0</v>
      </c>
      <c r="AB24" s="187">
        <f t="shared" si="13"/>
        <v>0</v>
      </c>
      <c r="AC24" s="183">
        <f t="shared" si="14"/>
        <v>0</v>
      </c>
      <c r="AD24" s="188">
        <f t="shared" si="15"/>
        <v>2.6826388888875954</v>
      </c>
      <c r="AE24" s="188">
        <f t="shared" si="16"/>
        <v>0</v>
      </c>
      <c r="AF24" s="188">
        <f t="shared" si="17"/>
        <v>2.6826388888875954</v>
      </c>
      <c r="AG24" s="188">
        <f t="shared" si="18"/>
        <v>0</v>
      </c>
    </row>
    <row r="25" spans="1:35" ht="15" customHeight="1" x14ac:dyDescent="0.15">
      <c r="B25" s="174" t="s">
        <v>5</v>
      </c>
      <c r="C25" s="175" t="s">
        <v>13</v>
      </c>
      <c r="D25" s="176" t="str">
        <f t="shared" si="0"/>
        <v>C</v>
      </c>
      <c r="E25" s="177" t="d">
        <v>2021-12-01T22:15:00.00000020954757600</v>
      </c>
      <c r="F25" s="178" t="s">
        <v>81</v>
      </c>
      <c r="G25" s="179">
        <v>16065.56</v>
      </c>
      <c r="H25" s="179">
        <v>16165.64</v>
      </c>
      <c r="I25" s="180">
        <f t="shared" si="1"/>
        <v>100.07999999999993</v>
      </c>
      <c r="J25" s="179">
        <v>15465.06</v>
      </c>
      <c r="K25" s="177" t="d">
        <v>2021-12-02T02:28:00.00000002793967725</v>
      </c>
      <c r="L25" s="179">
        <v>15955.96</v>
      </c>
      <c r="M25" s="181">
        <f t="shared" si="2"/>
        <v>109.6</v>
      </c>
      <c r="N25" s="182">
        <f t="shared" si="3"/>
        <v>1.1000000000000001</v>
      </c>
      <c r="O25" s="183">
        <f t="shared" si="4"/>
        <v>0</v>
      </c>
      <c r="P25" s="184">
        <f t="shared" si="5"/>
        <v>1.1000000000000001</v>
      </c>
      <c r="Q25" s="184">
        <f t="shared" si="6"/>
        <v>0</v>
      </c>
      <c r="R2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32177.5</v>
      </c>
      <c r="T2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25" s="186">
        <f ca="1">IF(Tabla336106734811[[#This Row],[Equity]]&lt;Tabla336106734811[[#This Row],[Equity Peak]],(Tabla336106734811[[#This Row],[Equity Peak]]-Tabla336106734811[[#This Row],[Equity]])/Tabla336106734811[[#This Row],[Equity Peak]],"")</f>
        <v>3.5012745539061328E-2</v>
      </c>
      <c r="V25" s="187">
        <f t="shared" si="7"/>
        <v>0</v>
      </c>
      <c r="W25" s="187">
        <f t="shared" si="8"/>
        <v>0</v>
      </c>
      <c r="X25" s="187">
        <f t="shared" si="9"/>
        <v>0</v>
      </c>
      <c r="Y25" s="187">
        <f t="shared" si="10"/>
        <v>0</v>
      </c>
      <c r="Z25" s="187">
        <f t="shared" si="11"/>
        <v>1.1000000000000001</v>
      </c>
      <c r="AA25" s="183">
        <f t="shared" si="12"/>
        <v>0</v>
      </c>
      <c r="AB25" s="187">
        <f t="shared" si="13"/>
        <v>0</v>
      </c>
      <c r="AC25" s="183">
        <f t="shared" si="14"/>
        <v>0</v>
      </c>
      <c r="AD25" s="188">
        <f t="shared" si="15"/>
        <v>0.1756944444423425</v>
      </c>
      <c r="AE25" s="188">
        <f t="shared" si="16"/>
        <v>0.1756944444423425</v>
      </c>
      <c r="AF25" s="188">
        <f t="shared" si="17"/>
        <v>0</v>
      </c>
      <c r="AG25" s="188">
        <f t="shared" si="18"/>
        <v>0</v>
      </c>
    </row>
    <row r="26" spans="1:35" ht="15" customHeight="1" x14ac:dyDescent="0.15">
      <c r="B26" s="174" t="s">
        <v>5</v>
      </c>
      <c r="C26" s="175" t="s">
        <v>13</v>
      </c>
      <c r="D26" s="176" t="str">
        <f t="shared" si="0"/>
        <v>C</v>
      </c>
      <c r="E26" s="177" t="d">
        <v>2021-11-30T18:00:00.000</v>
      </c>
      <c r="F26" s="178" t="s">
        <v>81</v>
      </c>
      <c r="G26" s="179">
        <v>16145.18</v>
      </c>
      <c r="H26" s="179">
        <v>16239.26</v>
      </c>
      <c r="I26" s="180">
        <f t="shared" si="1"/>
        <v>94.079999999999927</v>
      </c>
      <c r="J26" s="179">
        <v>15580.72</v>
      </c>
      <c r="K26" s="177" t="d">
        <v>2021-11-30T23:58:00.00000023748725325</v>
      </c>
      <c r="L26" s="179">
        <v>16237.09</v>
      </c>
      <c r="M26" s="181">
        <f t="shared" si="2"/>
        <v>-91.91</v>
      </c>
      <c r="N26" s="182">
        <f t="shared" si="3"/>
        <v>-0.98</v>
      </c>
      <c r="O26" s="183">
        <f t="shared" si="4"/>
        <v>0</v>
      </c>
      <c r="P26" s="184">
        <f t="shared" si="5"/>
        <v>0</v>
      </c>
      <c r="Q26" s="184">
        <f t="shared" si="6"/>
        <v>-0.98</v>
      </c>
      <c r="R2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31902.5</v>
      </c>
      <c r="T2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26" s="186">
        <f ca="1">IF(Tabla336106734811[[#This Row],[Equity]]&lt;Tabla336106734811[[#This Row],[Equity Peak]],(Tabla336106734811[[#This Row],[Equity Peak]]-Tabla336106734811[[#This Row],[Equity]])/Tabla336106734811[[#This Row],[Equity Peak]],"")</f>
        <v>4.325985904933273E-2</v>
      </c>
      <c r="V26" s="187">
        <f t="shared" si="7"/>
        <v>0</v>
      </c>
      <c r="W26" s="187">
        <f t="shared" si="8"/>
        <v>0</v>
      </c>
      <c r="X26" s="187">
        <f t="shared" si="9"/>
        <v>0</v>
      </c>
      <c r="Y26" s="187">
        <f t="shared" si="10"/>
        <v>0</v>
      </c>
      <c r="Z26" s="187">
        <f t="shared" si="11"/>
        <v>-0.98</v>
      </c>
      <c r="AA26" s="183">
        <f t="shared" si="12"/>
        <v>0</v>
      </c>
      <c r="AB26" s="187">
        <f t="shared" si="13"/>
        <v>0</v>
      </c>
      <c r="AC26" s="183">
        <f t="shared" si="14"/>
        <v>0</v>
      </c>
      <c r="AD26" s="188">
        <f t="shared" si="15"/>
        <v>0.24861111111385981</v>
      </c>
      <c r="AE26" s="188">
        <f t="shared" si="16"/>
        <v>0</v>
      </c>
      <c r="AF26" s="188">
        <f t="shared" si="17"/>
        <v>0.24861111111385981</v>
      </c>
      <c r="AG26" s="188">
        <f t="shared" si="18"/>
        <v>0</v>
      </c>
    </row>
    <row r="27" spans="1:35" ht="15" customHeight="1" x14ac:dyDescent="0.15">
      <c r="B27" s="174" t="s">
        <v>5</v>
      </c>
      <c r="C27" s="175" t="s">
        <v>15</v>
      </c>
      <c r="D27" s="176" t="str">
        <f t="shared" si="0"/>
        <v>C</v>
      </c>
      <c r="E27" s="177" t="d">
        <v>2021-11-29T22:15:00.00000020954757600</v>
      </c>
      <c r="F27" s="178" t="s">
        <v>81</v>
      </c>
      <c r="G27" s="179">
        <v>16429.099999999999</v>
      </c>
      <c r="H27" s="179">
        <v>16342.95</v>
      </c>
      <c r="I27" s="180">
        <f t="shared" si="1"/>
        <v>86.149999999997817</v>
      </c>
      <c r="J27" s="179">
        <v>16946</v>
      </c>
      <c r="K27" s="177" t="d">
        <v>2021-11-30T07:18:00.00000016763806350</v>
      </c>
      <c r="L27" s="179">
        <v>16342.95</v>
      </c>
      <c r="M27" s="181">
        <f t="shared" si="2"/>
        <v>-86.15</v>
      </c>
      <c r="N27" s="182">
        <f t="shared" si="3"/>
        <v>-1</v>
      </c>
      <c r="O27" s="183">
        <f t="shared" si="4"/>
        <v>0</v>
      </c>
      <c r="P27" s="184">
        <f t="shared" si="5"/>
        <v>0</v>
      </c>
      <c r="Q27" s="184">
        <f t="shared" si="6"/>
        <v>-1</v>
      </c>
      <c r="R2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32147.5</v>
      </c>
      <c r="T2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27" s="186">
        <f ca="1">IF(Tabla336106734811[[#This Row],[Equity]]&lt;Tabla336106734811[[#This Row],[Equity Peak]],(Tabla336106734811[[#This Row],[Equity Peak]]-Tabla336106734811[[#This Row],[Equity]])/Tabla336106734811[[#This Row],[Equity Peak]],"")</f>
        <v>3.5912430649272756E-2</v>
      </c>
      <c r="V27" s="187">
        <f t="shared" si="7"/>
        <v>0</v>
      </c>
      <c r="W27" s="187">
        <f t="shared" si="8"/>
        <v>0</v>
      </c>
      <c r="X27" s="187">
        <f t="shared" si="9"/>
        <v>0</v>
      </c>
      <c r="Y27" s="187">
        <f t="shared" si="10"/>
        <v>0</v>
      </c>
      <c r="Z27" s="187">
        <f t="shared" si="11"/>
        <v>-1</v>
      </c>
      <c r="AA27" s="183">
        <f t="shared" si="12"/>
        <v>0</v>
      </c>
      <c r="AB27" s="187">
        <f t="shared" si="13"/>
        <v>0</v>
      </c>
      <c r="AC27" s="183">
        <f t="shared" si="14"/>
        <v>0</v>
      </c>
      <c r="AD27" s="188">
        <f t="shared" si="15"/>
        <v>0.37708333333284827</v>
      </c>
      <c r="AE27" s="188">
        <f t="shared" si="16"/>
        <v>0</v>
      </c>
      <c r="AF27" s="188">
        <f t="shared" si="17"/>
        <v>0.37708333333284827</v>
      </c>
      <c r="AG27" s="188">
        <f t="shared" si="18"/>
        <v>0</v>
      </c>
    </row>
    <row r="28" spans="1:35" ht="15" customHeight="1" x14ac:dyDescent="0.15">
      <c r="B28" s="174" t="s">
        <v>5</v>
      </c>
      <c r="C28" s="175" t="s">
        <v>13</v>
      </c>
      <c r="D28" s="176" t="str">
        <f t="shared" si="0"/>
        <v>C</v>
      </c>
      <c r="E28" s="177" t="d">
        <v>2021-11-26T18:14:59.99999979045242400</v>
      </c>
      <c r="F28" s="178" t="s">
        <v>81</v>
      </c>
      <c r="G28" s="179">
        <v>16067.66</v>
      </c>
      <c r="H28" s="179">
        <v>16142.84</v>
      </c>
      <c r="I28" s="180">
        <f t="shared" si="1"/>
        <v>75.180000000000291</v>
      </c>
      <c r="J28" s="179">
        <v>15616.56</v>
      </c>
      <c r="K28" s="177" t="d">
        <v>2021-11-29T01:02:00.00000018160789875</v>
      </c>
      <c r="L28" s="179">
        <v>16142.84</v>
      </c>
      <c r="M28" s="181">
        <f t="shared" si="2"/>
        <v>-75.180000000000007</v>
      </c>
      <c r="N28" s="182">
        <f t="shared" si="3"/>
        <v>-1</v>
      </c>
      <c r="O28" s="183">
        <f t="shared" si="4"/>
        <v>0</v>
      </c>
      <c r="P28" s="184">
        <f t="shared" si="5"/>
        <v>0</v>
      </c>
      <c r="Q28" s="184">
        <f t="shared" si="6"/>
        <v>-1</v>
      </c>
      <c r="R2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32397.5</v>
      </c>
      <c r="T2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28" s="186">
        <f ca="1">IF(Tabla336106734811[[#This Row],[Equity]]&lt;Tabla336106734811[[#This Row],[Equity Peak]],(Tabla336106734811[[#This Row],[Equity Peak]]-Tabla336106734811[[#This Row],[Equity]])/Tabla336106734811[[#This Row],[Equity Peak]],"")</f>
        <v>2.8415054730844203E-2</v>
      </c>
      <c r="V28" s="187">
        <f t="shared" si="7"/>
        <v>0</v>
      </c>
      <c r="W28" s="187">
        <f t="shared" si="8"/>
        <v>0</v>
      </c>
      <c r="X28" s="187">
        <f t="shared" si="9"/>
        <v>0</v>
      </c>
      <c r="Y28" s="187">
        <f t="shared" si="10"/>
        <v>0</v>
      </c>
      <c r="Z28" s="187">
        <f t="shared" si="11"/>
        <v>-1</v>
      </c>
      <c r="AA28" s="183">
        <f t="shared" si="12"/>
        <v>0</v>
      </c>
      <c r="AB28" s="187">
        <f t="shared" si="13"/>
        <v>0</v>
      </c>
      <c r="AC28" s="183">
        <f t="shared" si="14"/>
        <v>0</v>
      </c>
      <c r="AD28" s="188">
        <f t="shared" si="15"/>
        <v>2.2826388888934162</v>
      </c>
      <c r="AE28" s="188">
        <f t="shared" si="16"/>
        <v>0</v>
      </c>
      <c r="AF28" s="188">
        <f t="shared" si="17"/>
        <v>2.2826388888934162</v>
      </c>
      <c r="AG28" s="188">
        <f t="shared" si="18"/>
        <v>0</v>
      </c>
    </row>
    <row r="29" spans="1:35" ht="15" customHeight="1" x14ac:dyDescent="0.15">
      <c r="B29" s="174" t="s">
        <v>5</v>
      </c>
      <c r="C29" s="175" t="s">
        <v>15</v>
      </c>
      <c r="D29" s="176" t="str">
        <f t="shared" si="0"/>
        <v>C</v>
      </c>
      <c r="E29" s="177" t="d">
        <v>2021-11-25T10:15:00.00000020954757600</v>
      </c>
      <c r="F29" s="178" t="s">
        <v>81</v>
      </c>
      <c r="G29" s="179">
        <v>16426.18</v>
      </c>
      <c r="H29" s="179">
        <v>16344.71</v>
      </c>
      <c r="I29" s="180">
        <f t="shared" si="1"/>
        <v>81.470000000001164</v>
      </c>
      <c r="J29" s="179">
        <v>16915</v>
      </c>
      <c r="K29" s="177" t="d">
        <v>2021-11-26T02:26:59.99999983236193650</v>
      </c>
      <c r="L29" s="179">
        <v>16344.71</v>
      </c>
      <c r="M29" s="181">
        <f t="shared" si="2"/>
        <v>-81.47</v>
      </c>
      <c r="N29" s="182">
        <f t="shared" si="3"/>
        <v>-1</v>
      </c>
      <c r="O29" s="183">
        <f t="shared" si="4"/>
        <v>0</v>
      </c>
      <c r="P29" s="184">
        <f t="shared" si="5"/>
        <v>0</v>
      </c>
      <c r="Q29" s="184">
        <f t="shared" si="6"/>
        <v>-1</v>
      </c>
      <c r="R2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32647.5</v>
      </c>
      <c r="T2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29" s="186">
        <f ca="1">IF(Tabla336106734811[[#This Row],[Equity]]&lt;Tabla336106734811[[#This Row],[Equity Peak]],(Tabla336106734811[[#This Row],[Equity Peak]]-Tabla336106734811[[#This Row],[Equity]])/Tabla336106734811[[#This Row],[Equity Peak]],"")</f>
        <v>2.0917678812415654E-2</v>
      </c>
      <c r="V29" s="187">
        <f t="shared" si="7"/>
        <v>0</v>
      </c>
      <c r="W29" s="187">
        <f t="shared" si="8"/>
        <v>0</v>
      </c>
      <c r="X29" s="187">
        <f t="shared" si="9"/>
        <v>0</v>
      </c>
      <c r="Y29" s="187">
        <f t="shared" si="10"/>
        <v>0</v>
      </c>
      <c r="Z29" s="187">
        <f t="shared" si="11"/>
        <v>-1</v>
      </c>
      <c r="AA29" s="183">
        <f t="shared" si="12"/>
        <v>0</v>
      </c>
      <c r="AB29" s="187">
        <f t="shared" si="13"/>
        <v>0</v>
      </c>
      <c r="AC29" s="183">
        <f t="shared" si="14"/>
        <v>0</v>
      </c>
      <c r="AD29" s="188">
        <f t="shared" si="15"/>
        <v>0.67499999999563443</v>
      </c>
      <c r="AE29" s="188">
        <f t="shared" si="16"/>
        <v>0</v>
      </c>
      <c r="AF29" s="188">
        <f t="shared" si="17"/>
        <v>0.67499999999563443</v>
      </c>
      <c r="AG29" s="188">
        <f t="shared" si="18"/>
        <v>0</v>
      </c>
    </row>
    <row r="30" spans="1:35" ht="15" customHeight="1" x14ac:dyDescent="0.15">
      <c r="B30" s="174" t="s">
        <v>5</v>
      </c>
      <c r="C30" s="175" t="s">
        <v>13</v>
      </c>
      <c r="D30" s="176" t="str">
        <f t="shared" si="0"/>
        <v>C</v>
      </c>
      <c r="E30" s="177" t="d">
        <v>2021-11-23T20:45:00.00000020954757600</v>
      </c>
      <c r="F30" s="178" t="s">
        <v>81</v>
      </c>
      <c r="G30" s="179">
        <v>16122.49</v>
      </c>
      <c r="H30" s="179">
        <v>16198.41</v>
      </c>
      <c r="I30" s="180">
        <f t="shared" si="1"/>
        <v>75.920000000000073</v>
      </c>
      <c r="J30" s="179">
        <v>15666.95</v>
      </c>
      <c r="K30" s="177" t="d">
        <v>2021-11-23T20:54:00.00000008381903175</v>
      </c>
      <c r="L30" s="179">
        <v>16198.41</v>
      </c>
      <c r="M30" s="181">
        <f t="shared" si="2"/>
        <v>-75.92</v>
      </c>
      <c r="N30" s="182">
        <f t="shared" si="3"/>
        <v>-1</v>
      </c>
      <c r="O30" s="183">
        <f t="shared" si="4"/>
        <v>0</v>
      </c>
      <c r="P30" s="184">
        <f t="shared" si="5"/>
        <v>0</v>
      </c>
      <c r="Q30" s="184">
        <f t="shared" si="6"/>
        <v>-1</v>
      </c>
      <c r="R3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32897.5</v>
      </c>
      <c r="T3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30" s="186">
        <f ca="1">IF(Tabla336106734811[[#This Row],[Equity]]&lt;Tabla336106734811[[#This Row],[Equity Peak]],(Tabla336106734811[[#This Row],[Equity Peak]]-Tabla336106734811[[#This Row],[Equity]])/Tabla336106734811[[#This Row],[Equity Peak]],"")</f>
        <v>1.3420302893987105E-2</v>
      </c>
      <c r="V30" s="187">
        <f t="shared" si="7"/>
        <v>0</v>
      </c>
      <c r="W30" s="187">
        <f t="shared" si="8"/>
        <v>0</v>
      </c>
      <c r="X30" s="187">
        <f t="shared" si="9"/>
        <v>0</v>
      </c>
      <c r="Y30" s="187">
        <f t="shared" si="10"/>
        <v>0</v>
      </c>
      <c r="Z30" s="187">
        <f t="shared" si="11"/>
        <v>-1</v>
      </c>
      <c r="AA30" s="183">
        <f t="shared" si="12"/>
        <v>0</v>
      </c>
      <c r="AB30" s="187">
        <f t="shared" si="13"/>
        <v>0</v>
      </c>
      <c r="AC30" s="183">
        <f t="shared" si="14"/>
        <v>0</v>
      </c>
      <c r="AD30" s="188">
        <f t="shared" si="15"/>
        <v>6.2499999985448085E-3</v>
      </c>
      <c r="AE30" s="188">
        <f t="shared" si="16"/>
        <v>0</v>
      </c>
      <c r="AF30" s="188">
        <f t="shared" si="17"/>
        <v>6.2499999985448085E-3</v>
      </c>
      <c r="AG30" s="188">
        <f t="shared" si="18"/>
        <v>0</v>
      </c>
    </row>
    <row r="31" spans="1:35" ht="15" customHeight="1" x14ac:dyDescent="0.15">
      <c r="B31" s="174" t="s">
        <v>5</v>
      </c>
      <c r="C31" s="175" t="s">
        <v>15</v>
      </c>
      <c r="D31" s="176" t="str">
        <f t="shared" si="0"/>
        <v>C</v>
      </c>
      <c r="E31" s="177" t="d">
        <v>2021-11-19T00:59:59.99999979045242400</v>
      </c>
      <c r="F31" s="178" t="s">
        <v>81</v>
      </c>
      <c r="G31" s="179">
        <v>16502.8</v>
      </c>
      <c r="H31" s="179">
        <v>16456.52</v>
      </c>
      <c r="I31" s="180">
        <f t="shared" si="1"/>
        <v>46.279999999998836</v>
      </c>
      <c r="J31" s="179">
        <v>16780.46</v>
      </c>
      <c r="K31" s="177" t="d">
        <v>2021-11-19T11:58:00.00000023748725325</v>
      </c>
      <c r="L31" s="179">
        <v>16537.650000000001</v>
      </c>
      <c r="M31" s="181">
        <f t="shared" si="2"/>
        <v>34.85</v>
      </c>
      <c r="N31" s="182">
        <f t="shared" si="3"/>
        <v>0.75</v>
      </c>
      <c r="O31" s="183">
        <f t="shared" si="4"/>
        <v>0</v>
      </c>
      <c r="P31" s="184">
        <f t="shared" si="5"/>
        <v>0.75</v>
      </c>
      <c r="Q31" s="184">
        <f t="shared" si="6"/>
        <v>0</v>
      </c>
      <c r="R3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33147.5</v>
      </c>
      <c r="T3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31" s="186">
        <f ca="1">IF(Tabla336106734811[[#This Row],[Equity]]&lt;Tabla336106734811[[#This Row],[Equity Peak]],(Tabla336106734811[[#This Row],[Equity Peak]]-Tabla336106734811[[#This Row],[Equity]])/Tabla336106734811[[#This Row],[Equity Peak]],"")</f>
        <v>5.9229269755585543E-3</v>
      </c>
      <c r="V31" s="187">
        <f t="shared" si="7"/>
        <v>0</v>
      </c>
      <c r="W31" s="187">
        <f t="shared" si="8"/>
        <v>0</v>
      </c>
      <c r="X31" s="187">
        <f t="shared" si="9"/>
        <v>0</v>
      </c>
      <c r="Y31" s="187">
        <f t="shared" si="10"/>
        <v>0</v>
      </c>
      <c r="Z31" s="187">
        <f t="shared" si="11"/>
        <v>0.75</v>
      </c>
      <c r="AA31" s="183">
        <f t="shared" si="12"/>
        <v>0</v>
      </c>
      <c r="AB31" s="187">
        <f t="shared" si="13"/>
        <v>0</v>
      </c>
      <c r="AC31" s="183">
        <f t="shared" si="14"/>
        <v>0</v>
      </c>
      <c r="AD31" s="188">
        <f t="shared" si="15"/>
        <v>0.45694444444961846</v>
      </c>
      <c r="AE31" s="188">
        <f t="shared" si="16"/>
        <v>0.45694444444961846</v>
      </c>
      <c r="AF31" s="188">
        <f t="shared" si="17"/>
        <v>0</v>
      </c>
      <c r="AG31" s="188">
        <f t="shared" si="18"/>
        <v>0</v>
      </c>
    </row>
    <row r="32" spans="1:35" ht="15" customHeight="1" x14ac:dyDescent="0.15">
      <c r="B32" s="174" t="s">
        <v>5</v>
      </c>
      <c r="C32" s="175" t="s">
        <v>15</v>
      </c>
      <c r="D32" s="176" t="str">
        <f t="shared" si="0"/>
        <v>C</v>
      </c>
      <c r="E32" s="177" t="d">
        <v>2021-11-18T18:45:00.000</v>
      </c>
      <c r="F32" s="178" t="s">
        <v>81</v>
      </c>
      <c r="G32" s="179">
        <v>16459.669999999998</v>
      </c>
      <c r="H32" s="179">
        <v>16414.11</v>
      </c>
      <c r="I32" s="180">
        <f t="shared" si="1"/>
        <v>45.559999999997672</v>
      </c>
      <c r="J32" s="179">
        <v>16733</v>
      </c>
      <c r="K32" s="177" t="d">
        <v>2021-11-18T21:02:59.9999999580904875</v>
      </c>
      <c r="L32" s="179">
        <v>16418.689999999999</v>
      </c>
      <c r="M32" s="181">
        <f t="shared" si="2"/>
        <v>-40.98</v>
      </c>
      <c r="N32" s="182">
        <f t="shared" si="3"/>
        <v>-0.9</v>
      </c>
      <c r="O32" s="183">
        <f t="shared" si="4"/>
        <v>0</v>
      </c>
      <c r="P32" s="184">
        <f t="shared" si="5"/>
        <v>0</v>
      </c>
      <c r="Q32" s="184">
        <f t="shared" si="6"/>
        <v>-0.9</v>
      </c>
      <c r="R3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32960</v>
      </c>
      <c r="T3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32" s="186">
        <f ca="1">IF(Tabla336106734811[[#This Row],[Equity]]&lt;Tabla336106734811[[#This Row],[Equity Peak]],(Tabla336106734811[[#This Row],[Equity Peak]]-Tabla336106734811[[#This Row],[Equity]])/Tabla336106734811[[#This Row],[Equity Peak]],"")</f>
        <v>1.1545958914379968E-2</v>
      </c>
      <c r="V32" s="187">
        <f t="shared" si="7"/>
        <v>0</v>
      </c>
      <c r="W32" s="187">
        <f t="shared" si="8"/>
        <v>0</v>
      </c>
      <c r="X32" s="187">
        <f t="shared" si="9"/>
        <v>0</v>
      </c>
      <c r="Y32" s="187">
        <f t="shared" si="10"/>
        <v>0</v>
      </c>
      <c r="Z32" s="187">
        <f t="shared" si="11"/>
        <v>-0.9</v>
      </c>
      <c r="AA32" s="183">
        <f t="shared" si="12"/>
        <v>0</v>
      </c>
      <c r="AB32" s="187">
        <f t="shared" si="13"/>
        <v>0</v>
      </c>
      <c r="AC32" s="183">
        <f t="shared" si="14"/>
        <v>0</v>
      </c>
      <c r="AD32" s="188">
        <f t="shared" si="15"/>
        <v>9.5833333332848269E-2</v>
      </c>
      <c r="AE32" s="188">
        <f t="shared" si="16"/>
        <v>0</v>
      </c>
      <c r="AF32" s="188">
        <f t="shared" si="17"/>
        <v>9.5833333332848269E-2</v>
      </c>
      <c r="AG32" s="188">
        <f t="shared" si="18"/>
        <v>0</v>
      </c>
    </row>
    <row r="33" spans="2:33" ht="15" customHeight="1" x14ac:dyDescent="0.15">
      <c r="B33" s="174" t="s">
        <v>5</v>
      </c>
      <c r="C33" s="175" t="s">
        <v>15</v>
      </c>
      <c r="D33" s="176" t="str">
        <f t="shared" si="0"/>
        <v>C</v>
      </c>
      <c r="E33" s="177" t="d">
        <v>2021-11-16T18:14:59.99999979045242400</v>
      </c>
      <c r="F33" s="178" t="s">
        <v>81</v>
      </c>
      <c r="G33" s="179">
        <v>16287.13</v>
      </c>
      <c r="H33" s="179">
        <v>16237.31</v>
      </c>
      <c r="I33" s="180">
        <f t="shared" si="1"/>
        <v>49.819999999999709</v>
      </c>
      <c r="J33" s="179">
        <v>16586.080000000002</v>
      </c>
      <c r="K33" s="177" t="d">
        <v>2021-11-17T19:18:00.00000016763806350</v>
      </c>
      <c r="L33" s="179">
        <v>16343.22</v>
      </c>
      <c r="M33" s="181">
        <f t="shared" si="2"/>
        <v>56.09</v>
      </c>
      <c r="N33" s="182">
        <f t="shared" si="3"/>
        <v>1.1299999999999999</v>
      </c>
      <c r="O33" s="183">
        <f t="shared" si="4"/>
        <v>0</v>
      </c>
      <c r="P33" s="184">
        <f t="shared" si="5"/>
        <v>1.1299999999999999</v>
      </c>
      <c r="Q33" s="184">
        <f t="shared" si="6"/>
        <v>0</v>
      </c>
      <c r="R3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33185</v>
      </c>
      <c r="T3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33" s="186">
        <f ca="1">IF(Tabla336106734811[[#This Row],[Equity]]&lt;Tabla336106734811[[#This Row],[Equity Peak]],(Tabla336106734811[[#This Row],[Equity Peak]]-Tabla336106734811[[#This Row],[Equity]])/Tabla336106734811[[#This Row],[Equity Peak]],"")</f>
        <v>4.7983205877942716E-3</v>
      </c>
      <c r="V33" s="187">
        <f t="shared" si="7"/>
        <v>0</v>
      </c>
      <c r="W33" s="187">
        <f t="shared" si="8"/>
        <v>0</v>
      </c>
      <c r="X33" s="187">
        <f t="shared" si="9"/>
        <v>0</v>
      </c>
      <c r="Y33" s="187">
        <f t="shared" si="10"/>
        <v>0</v>
      </c>
      <c r="Z33" s="187">
        <f t="shared" si="11"/>
        <v>1.1299999999999999</v>
      </c>
      <c r="AA33" s="183">
        <f t="shared" si="12"/>
        <v>0</v>
      </c>
      <c r="AB33" s="187">
        <f t="shared" si="13"/>
        <v>0</v>
      </c>
      <c r="AC33" s="183">
        <f t="shared" si="14"/>
        <v>0</v>
      </c>
      <c r="AD33" s="188">
        <f t="shared" si="15"/>
        <v>1.0437500000043656</v>
      </c>
      <c r="AE33" s="188">
        <f t="shared" si="16"/>
        <v>1.0437500000043656</v>
      </c>
      <c r="AF33" s="188">
        <f t="shared" si="17"/>
        <v>0</v>
      </c>
      <c r="AG33" s="188">
        <f t="shared" si="18"/>
        <v>0</v>
      </c>
    </row>
    <row r="34" spans="2:33" ht="15" customHeight="1" x14ac:dyDescent="0.15">
      <c r="B34" s="174" t="s">
        <v>5</v>
      </c>
      <c r="C34" s="175" t="s">
        <v>15</v>
      </c>
      <c r="D34" s="176" t="str">
        <f t="shared" si="0"/>
        <v>C</v>
      </c>
      <c r="E34" s="177" t="d">
        <v>2021-11-12T18:14:59.99999979045242400</v>
      </c>
      <c r="F34" s="178" t="s">
        <v>81</v>
      </c>
      <c r="G34" s="179">
        <v>16147.69</v>
      </c>
      <c r="H34" s="179">
        <v>16086.72</v>
      </c>
      <c r="I34" s="180">
        <f t="shared" si="1"/>
        <v>60.970000000001164</v>
      </c>
      <c r="J34" s="179">
        <v>16513.490000000002</v>
      </c>
      <c r="K34" s="177" t="d">
        <v>2021-11-15T16:30:00.000</v>
      </c>
      <c r="L34" s="179">
        <v>16232.15</v>
      </c>
      <c r="M34" s="181">
        <f t="shared" si="2"/>
        <v>84.46</v>
      </c>
      <c r="N34" s="182">
        <f t="shared" si="3"/>
        <v>1.39</v>
      </c>
      <c r="O34" s="183">
        <f t="shared" si="4"/>
        <v>0</v>
      </c>
      <c r="P34" s="184">
        <f t="shared" si="5"/>
        <v>1.39</v>
      </c>
      <c r="Q34" s="184">
        <f t="shared" si="6"/>
        <v>0</v>
      </c>
      <c r="R3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32902.5</v>
      </c>
      <c r="T3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34" s="186">
        <f ca="1">IF(Tabla336106734811[[#This Row],[Equity]]&lt;Tabla336106734811[[#This Row],[Equity Peak]],(Tabla336106734811[[#This Row],[Equity Peak]]-Tabla336106734811[[#This Row],[Equity]])/Tabla336106734811[[#This Row],[Equity Peak]],"")</f>
        <v>1.3270355375618534E-2</v>
      </c>
      <c r="V34" s="187">
        <f t="shared" si="7"/>
        <v>0</v>
      </c>
      <c r="W34" s="187">
        <f t="shared" si="8"/>
        <v>0</v>
      </c>
      <c r="X34" s="187">
        <f t="shared" si="9"/>
        <v>0</v>
      </c>
      <c r="Y34" s="187">
        <f t="shared" si="10"/>
        <v>0</v>
      </c>
      <c r="Z34" s="187">
        <f t="shared" si="11"/>
        <v>1.39</v>
      </c>
      <c r="AA34" s="183">
        <f t="shared" si="12"/>
        <v>0</v>
      </c>
      <c r="AB34" s="187">
        <f t="shared" si="13"/>
        <v>0</v>
      </c>
      <c r="AC34" s="183">
        <f t="shared" si="14"/>
        <v>0</v>
      </c>
      <c r="AD34" s="188">
        <f t="shared" si="15"/>
        <v>2.9270833333357587</v>
      </c>
      <c r="AE34" s="188">
        <f t="shared" si="16"/>
        <v>2.9270833333357587</v>
      </c>
      <c r="AF34" s="188">
        <f t="shared" si="17"/>
        <v>0</v>
      </c>
      <c r="AG34" s="188">
        <f t="shared" si="18"/>
        <v>0</v>
      </c>
    </row>
    <row r="35" spans="2:33" ht="15" customHeight="1" x14ac:dyDescent="0.15">
      <c r="B35" s="174" t="s">
        <v>5</v>
      </c>
      <c r="C35" s="175" t="s">
        <v>15</v>
      </c>
      <c r="D35" s="176" t="str">
        <f t="shared" si="0"/>
        <v>C</v>
      </c>
      <c r="E35" s="177" t="d">
        <v>2021-11-03T21:59:59.99999979045242400</v>
      </c>
      <c r="F35" s="178" t="s">
        <v>81</v>
      </c>
      <c r="G35" s="179">
        <v>16092.39</v>
      </c>
      <c r="H35" s="179">
        <v>16049.82</v>
      </c>
      <c r="I35" s="180">
        <f t="shared" si="1"/>
        <v>42.569999999999709</v>
      </c>
      <c r="J35" s="179">
        <v>16347.82</v>
      </c>
      <c r="K35" s="177" t="d">
        <v>2021-11-04T16:32:59.9999999580904875</v>
      </c>
      <c r="L35" s="179">
        <v>16173.19</v>
      </c>
      <c r="M35" s="181">
        <f t="shared" si="2"/>
        <v>80.8</v>
      </c>
      <c r="N35" s="182">
        <f t="shared" si="3"/>
        <v>1.9</v>
      </c>
      <c r="O35" s="183">
        <f t="shared" si="4"/>
        <v>0</v>
      </c>
      <c r="P35" s="184">
        <f t="shared" si="5"/>
        <v>1.9</v>
      </c>
      <c r="Q35" s="184">
        <f t="shared" si="6"/>
        <v>0</v>
      </c>
      <c r="R3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32555</v>
      </c>
      <c r="T3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35" s="186">
        <f ca="1">IF(Tabla336106734811[[#This Row],[Equity]]&lt;Tabla336106734811[[#This Row],[Equity Peak]],(Tabla336106734811[[#This Row],[Equity Peak]]-Tabla336106734811[[#This Row],[Equity]])/Tabla336106734811[[#This Row],[Equity Peak]],"")</f>
        <v>2.3691707902234217E-2</v>
      </c>
      <c r="V35" s="187">
        <f t="shared" si="7"/>
        <v>0</v>
      </c>
      <c r="W35" s="187">
        <f t="shared" si="8"/>
        <v>0</v>
      </c>
      <c r="X35" s="187">
        <f t="shared" si="9"/>
        <v>0</v>
      </c>
      <c r="Y35" s="187">
        <f t="shared" si="10"/>
        <v>0</v>
      </c>
      <c r="Z35" s="187">
        <f t="shared" si="11"/>
        <v>1.9</v>
      </c>
      <c r="AA35" s="183">
        <f t="shared" si="12"/>
        <v>0</v>
      </c>
      <c r="AB35" s="187">
        <f t="shared" si="13"/>
        <v>0</v>
      </c>
      <c r="AC35" s="183">
        <f t="shared" si="14"/>
        <v>0</v>
      </c>
      <c r="AD35" s="188">
        <f t="shared" si="15"/>
        <v>0.77291666666860692</v>
      </c>
      <c r="AE35" s="188">
        <f t="shared" si="16"/>
        <v>0.77291666666860692</v>
      </c>
      <c r="AF35" s="188">
        <f t="shared" si="17"/>
        <v>0</v>
      </c>
      <c r="AG35" s="188">
        <f t="shared" si="18"/>
        <v>0</v>
      </c>
    </row>
    <row r="36" spans="2:33" ht="15" customHeight="1" x14ac:dyDescent="0.15">
      <c r="B36" s="174" t="s">
        <v>5</v>
      </c>
      <c r="C36" s="175" t="s">
        <v>15</v>
      </c>
      <c r="D36" s="176" t="str">
        <f t="shared" si="0"/>
        <v>C</v>
      </c>
      <c r="E36" s="177" t="d">
        <v>2021-11-02T18:45:00.000</v>
      </c>
      <c r="F36" s="178" t="s">
        <v>81</v>
      </c>
      <c r="G36" s="179">
        <v>15980.76</v>
      </c>
      <c r="H36" s="179">
        <v>15934.72</v>
      </c>
      <c r="I36" s="180">
        <f t="shared" si="1"/>
        <v>46.040000000000873</v>
      </c>
      <c r="J36" s="179">
        <v>16256.99</v>
      </c>
      <c r="K36" s="177" t="d">
        <v>2021-11-02T19:02:59.99999974854290475</v>
      </c>
      <c r="L36" s="179">
        <v>15934.72</v>
      </c>
      <c r="M36" s="181">
        <f t="shared" si="2"/>
        <v>-46.04</v>
      </c>
      <c r="N36" s="182">
        <f t="shared" si="3"/>
        <v>-1</v>
      </c>
      <c r="O36" s="183">
        <f t="shared" si="4"/>
        <v>0</v>
      </c>
      <c r="P36" s="184">
        <f t="shared" si="5"/>
        <v>0</v>
      </c>
      <c r="Q36" s="184">
        <f t="shared" si="6"/>
        <v>-1</v>
      </c>
      <c r="R3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32080</v>
      </c>
      <c r="T3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36" s="186">
        <f ca="1">IF(Tabla336106734811[[#This Row],[Equity]]&lt;Tabla336106734811[[#This Row],[Equity Peak]],(Tabla336106734811[[#This Row],[Equity Peak]]-Tabla336106734811[[#This Row],[Equity]])/Tabla336106734811[[#This Row],[Equity Peak]],"")</f>
        <v>3.7936722147248463E-2</v>
      </c>
      <c r="V36" s="187">
        <f t="shared" si="7"/>
        <v>0</v>
      </c>
      <c r="W36" s="187">
        <f t="shared" si="8"/>
        <v>0</v>
      </c>
      <c r="X36" s="187">
        <f t="shared" si="9"/>
        <v>0</v>
      </c>
      <c r="Y36" s="187">
        <f t="shared" si="10"/>
        <v>0</v>
      </c>
      <c r="Z36" s="187">
        <f t="shared" si="11"/>
        <v>-1</v>
      </c>
      <c r="AA36" s="183">
        <f t="shared" si="12"/>
        <v>0</v>
      </c>
      <c r="AB36" s="187">
        <f t="shared" si="13"/>
        <v>0</v>
      </c>
      <c r="AC36" s="183">
        <f t="shared" si="14"/>
        <v>0</v>
      </c>
      <c r="AD36" s="188">
        <f t="shared" si="15"/>
        <v>1.2499999997089617E-2</v>
      </c>
      <c r="AE36" s="188">
        <f t="shared" si="16"/>
        <v>0</v>
      </c>
      <c r="AF36" s="188">
        <f t="shared" si="17"/>
        <v>1.2499999997089617E-2</v>
      </c>
      <c r="AG36" s="188">
        <f t="shared" si="18"/>
        <v>0</v>
      </c>
    </row>
    <row r="37" spans="2:33" ht="15" customHeight="1" x14ac:dyDescent="0.15">
      <c r="B37" s="174" t="s">
        <v>5</v>
      </c>
      <c r="C37" s="175" t="s">
        <v>15</v>
      </c>
      <c r="D37" s="176" t="str">
        <f t="shared" si="0"/>
        <v>C</v>
      </c>
      <c r="E37" s="177" t="d">
        <v>2021-11-02T16:44:59.99999979045242400</v>
      </c>
      <c r="F37" s="178" t="s">
        <v>81</v>
      </c>
      <c r="G37" s="179">
        <v>15957.51</v>
      </c>
      <c r="H37" s="179">
        <v>15911.89</v>
      </c>
      <c r="I37" s="180">
        <f t="shared" si="1"/>
        <v>45.6200000000008</v>
      </c>
      <c r="J37" s="179">
        <v>16231.22</v>
      </c>
      <c r="K37" s="177" t="d">
        <v>2021-11-02T17:13:00.00000023748725325</v>
      </c>
      <c r="L37" s="179">
        <v>15911.89</v>
      </c>
      <c r="M37" s="181">
        <f t="shared" si="2"/>
        <v>-45.62</v>
      </c>
      <c r="N37" s="182">
        <f t="shared" si="3"/>
        <v>-1</v>
      </c>
      <c r="O37" s="183">
        <f t="shared" si="4"/>
        <v>0</v>
      </c>
      <c r="P37" s="184">
        <f t="shared" si="5"/>
        <v>0</v>
      </c>
      <c r="Q37" s="184">
        <f t="shared" si="6"/>
        <v>-1</v>
      </c>
      <c r="R3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32330</v>
      </c>
      <c r="T3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37" s="186">
        <f ca="1">IF(Tabla336106734811[[#This Row],[Equity]]&lt;Tabla336106734811[[#This Row],[Equity Peak]],(Tabla336106734811[[#This Row],[Equity Peak]]-Tabla336106734811[[#This Row],[Equity]])/Tabla336106734811[[#This Row],[Equity Peak]],"")</f>
        <v>3.0439346228819913E-2</v>
      </c>
      <c r="V37" s="187">
        <f t="shared" si="7"/>
        <v>0</v>
      </c>
      <c r="W37" s="187">
        <f t="shared" si="8"/>
        <v>0</v>
      </c>
      <c r="X37" s="187">
        <f t="shared" si="9"/>
        <v>0</v>
      </c>
      <c r="Y37" s="187">
        <f t="shared" si="10"/>
        <v>0</v>
      </c>
      <c r="Z37" s="187">
        <f t="shared" si="11"/>
        <v>-1</v>
      </c>
      <c r="AA37" s="183">
        <f t="shared" si="12"/>
        <v>0</v>
      </c>
      <c r="AB37" s="187">
        <f t="shared" si="13"/>
        <v>0</v>
      </c>
      <c r="AC37" s="183">
        <f t="shared" si="14"/>
        <v>0</v>
      </c>
      <c r="AD37" s="188">
        <f t="shared" si="15"/>
        <v>1.9444444449618459E-2</v>
      </c>
      <c r="AE37" s="188">
        <f t="shared" si="16"/>
        <v>0</v>
      </c>
      <c r="AF37" s="188">
        <f t="shared" si="17"/>
        <v>1.9444444449618459E-2</v>
      </c>
      <c r="AG37" s="188">
        <f t="shared" si="18"/>
        <v>0</v>
      </c>
    </row>
    <row r="38" spans="2:33" ht="15" customHeight="1" x14ac:dyDescent="0.15">
      <c r="B38" s="174" t="s">
        <v>5</v>
      </c>
      <c r="C38" s="175" t="s">
        <v>15</v>
      </c>
      <c r="D38" s="176" t="str">
        <f t="shared" si="0"/>
        <v>C</v>
      </c>
      <c r="E38" s="177" t="d">
        <v>2021-10-29T19:30:00.000</v>
      </c>
      <c r="F38" s="178" t="s">
        <v>81</v>
      </c>
      <c r="G38" s="179">
        <v>15801.72</v>
      </c>
      <c r="H38" s="179">
        <v>15746.39</v>
      </c>
      <c r="I38" s="180">
        <f t="shared" si="1"/>
        <v>55.329999999999927</v>
      </c>
      <c r="J38" s="179">
        <v>16133.7</v>
      </c>
      <c r="K38" s="177" t="d">
        <v>2021-11-01T16:06:59.99999990221113300</v>
      </c>
      <c r="L38" s="179">
        <v>15865.09</v>
      </c>
      <c r="M38" s="181">
        <f t="shared" si="2"/>
        <v>63.37</v>
      </c>
      <c r="N38" s="182">
        <f t="shared" si="3"/>
        <v>1.1499999999999999</v>
      </c>
      <c r="O38" s="183">
        <f t="shared" si="4"/>
        <v>0</v>
      </c>
      <c r="P38" s="184">
        <f t="shared" si="5"/>
        <v>1.1499999999999999</v>
      </c>
      <c r="Q38" s="184">
        <f t="shared" si="6"/>
        <v>0</v>
      </c>
      <c r="R3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32580</v>
      </c>
      <c r="T3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38" s="186">
        <f ca="1">IF(Tabla336106734811[[#This Row],[Equity]]&lt;Tabla336106734811[[#This Row],[Equity Peak]],(Tabla336106734811[[#This Row],[Equity Peak]]-Tabla336106734811[[#This Row],[Equity]])/Tabla336106734811[[#This Row],[Equity Peak]],"")</f>
        <v>2.2941970310391364E-2</v>
      </c>
      <c r="V38" s="187">
        <f t="shared" si="7"/>
        <v>0</v>
      </c>
      <c r="W38" s="187">
        <f t="shared" si="8"/>
        <v>0</v>
      </c>
      <c r="X38" s="187">
        <f t="shared" si="9"/>
        <v>0</v>
      </c>
      <c r="Y38" s="187">
        <f t="shared" si="10"/>
        <v>0</v>
      </c>
      <c r="Z38" s="187">
        <f t="shared" si="11"/>
        <v>1.1499999999999999</v>
      </c>
      <c r="AA38" s="183">
        <f t="shared" si="12"/>
        <v>0</v>
      </c>
      <c r="AB38" s="187">
        <f t="shared" si="13"/>
        <v>0</v>
      </c>
      <c r="AC38" s="183">
        <f t="shared" si="14"/>
        <v>0</v>
      </c>
      <c r="AD38" s="188">
        <f t="shared" si="15"/>
        <v>2.859027777776646</v>
      </c>
      <c r="AE38" s="188">
        <f t="shared" si="16"/>
        <v>2.859027777776646</v>
      </c>
      <c r="AF38" s="188">
        <f t="shared" si="17"/>
        <v>0</v>
      </c>
      <c r="AG38" s="188">
        <f t="shared" si="18"/>
        <v>0</v>
      </c>
    </row>
    <row r="39" spans="2:33" ht="15" customHeight="1" x14ac:dyDescent="0.15">
      <c r="B39" s="174" t="s">
        <v>5</v>
      </c>
      <c r="C39" s="175" t="s">
        <v>15</v>
      </c>
      <c r="D39" s="176" t="str">
        <f t="shared" si="0"/>
        <v>C</v>
      </c>
      <c r="E39" s="177" t="d">
        <v>2021-10-28T17:45:00.00000020954757600</v>
      </c>
      <c r="F39" s="178" t="s">
        <v>81</v>
      </c>
      <c r="G39" s="179">
        <v>15731.48</v>
      </c>
      <c r="H39" s="179">
        <v>15672.23</v>
      </c>
      <c r="I39" s="180">
        <f t="shared" si="1"/>
        <v>59.25</v>
      </c>
      <c r="J39" s="179">
        <v>16087</v>
      </c>
      <c r="K39" s="177" t="d">
        <v>2021-10-28T23:29:59.99999979045242400</v>
      </c>
      <c r="L39" s="179">
        <v>15681.28</v>
      </c>
      <c r="M39" s="181">
        <f t="shared" si="2"/>
        <v>-50.2</v>
      </c>
      <c r="N39" s="182">
        <f t="shared" si="3"/>
        <v>-0.85</v>
      </c>
      <c r="O39" s="183">
        <f t="shared" si="4"/>
        <v>0</v>
      </c>
      <c r="P39" s="184">
        <f t="shared" si="5"/>
        <v>0</v>
      </c>
      <c r="Q39" s="184">
        <f t="shared" si="6"/>
        <v>-0.85</v>
      </c>
      <c r="R3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3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32292.5</v>
      </c>
      <c r="T3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39" s="186">
        <f ca="1">IF(Tabla336106734811[[#This Row],[Equity]]&lt;Tabla336106734811[[#This Row],[Equity Peak]],(Tabla336106734811[[#This Row],[Equity Peak]]-Tabla336106734811[[#This Row],[Equity]])/Tabla336106734811[[#This Row],[Equity Peak]],"")</f>
        <v>3.1563952616584193E-2</v>
      </c>
      <c r="V39" s="187">
        <f t="shared" si="7"/>
        <v>0</v>
      </c>
      <c r="W39" s="187">
        <f t="shared" si="8"/>
        <v>0</v>
      </c>
      <c r="X39" s="187">
        <f t="shared" si="9"/>
        <v>0</v>
      </c>
      <c r="Y39" s="187">
        <f t="shared" si="10"/>
        <v>0</v>
      </c>
      <c r="Z39" s="187">
        <f t="shared" si="11"/>
        <v>-0.85</v>
      </c>
      <c r="AA39" s="183">
        <f t="shared" si="12"/>
        <v>0</v>
      </c>
      <c r="AB39" s="187">
        <f t="shared" si="13"/>
        <v>0</v>
      </c>
      <c r="AC39" s="183">
        <f t="shared" si="14"/>
        <v>0</v>
      </c>
      <c r="AD39" s="188">
        <f t="shared" si="15"/>
        <v>0.23958333332848269</v>
      </c>
      <c r="AE39" s="188">
        <f t="shared" si="16"/>
        <v>0</v>
      </c>
      <c r="AF39" s="188">
        <f t="shared" si="17"/>
        <v>0.23958333332848269</v>
      </c>
      <c r="AG39" s="188">
        <f t="shared" si="18"/>
        <v>0</v>
      </c>
    </row>
    <row r="40" spans="2:33" ht="15" customHeight="1" x14ac:dyDescent="0.15">
      <c r="B40" s="174" t="s">
        <v>5</v>
      </c>
      <c r="C40" s="175" t="s">
        <v>15</v>
      </c>
      <c r="D40" s="176" t="str">
        <f t="shared" si="0"/>
        <v>C</v>
      </c>
      <c r="E40" s="177" t="d">
        <v>2021-10-27T20:29:59.99999979045242400</v>
      </c>
      <c r="F40" s="178" t="s">
        <v>81</v>
      </c>
      <c r="G40" s="179">
        <v>15716.45</v>
      </c>
      <c r="H40" s="179">
        <v>15662.74</v>
      </c>
      <c r="I40" s="180">
        <f t="shared" si="1"/>
        <v>53.710000000000946</v>
      </c>
      <c r="J40" s="179">
        <v>16038.74</v>
      </c>
      <c r="K40" s="177" t="d">
        <v>2021-10-27T22:12:00.00000025145709525</v>
      </c>
      <c r="L40" s="179">
        <v>15662.74</v>
      </c>
      <c r="M40" s="181">
        <f t="shared" si="2"/>
        <v>-53.71</v>
      </c>
      <c r="N40" s="182">
        <f t="shared" si="3"/>
        <v>-1</v>
      </c>
      <c r="O40" s="183">
        <f t="shared" si="4"/>
        <v>0</v>
      </c>
      <c r="P40" s="184">
        <f t="shared" si="5"/>
        <v>0</v>
      </c>
      <c r="Q40" s="184">
        <f t="shared" si="6"/>
        <v>-1</v>
      </c>
      <c r="R4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32505</v>
      </c>
      <c r="T4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40" s="186">
        <f ca="1">IF(Tabla336106734811[[#This Row],[Equity]]&lt;Tabla336106734811[[#This Row],[Equity Peak]],(Tabla336106734811[[#This Row],[Equity Peak]]-Tabla336106734811[[#This Row],[Equity]])/Tabla336106734811[[#This Row],[Equity Peak]],"")</f>
        <v>2.5191183085919926E-2</v>
      </c>
      <c r="V40" s="187">
        <f t="shared" si="7"/>
        <v>0</v>
      </c>
      <c r="W40" s="187">
        <f t="shared" si="8"/>
        <v>0</v>
      </c>
      <c r="X40" s="187">
        <f t="shared" si="9"/>
        <v>0</v>
      </c>
      <c r="Y40" s="187">
        <f t="shared" si="10"/>
        <v>0</v>
      </c>
      <c r="Z40" s="187">
        <f t="shared" si="11"/>
        <v>-1</v>
      </c>
      <c r="AA40" s="183">
        <f t="shared" si="12"/>
        <v>0</v>
      </c>
      <c r="AB40" s="187">
        <f t="shared" si="13"/>
        <v>0</v>
      </c>
      <c r="AC40" s="183">
        <f t="shared" si="14"/>
        <v>0</v>
      </c>
      <c r="AD40" s="188">
        <f t="shared" si="15"/>
        <v>7.0833333338669036E-2</v>
      </c>
      <c r="AE40" s="188">
        <f t="shared" si="16"/>
        <v>0</v>
      </c>
      <c r="AF40" s="188">
        <f t="shared" si="17"/>
        <v>7.0833333338669036E-2</v>
      </c>
      <c r="AG40" s="188">
        <f t="shared" si="18"/>
        <v>0</v>
      </c>
    </row>
    <row r="41" spans="2:33" ht="15" customHeight="1" x14ac:dyDescent="0.15">
      <c r="B41" s="174" t="s">
        <v>5</v>
      </c>
      <c r="C41" s="175" t="s">
        <v>15</v>
      </c>
      <c r="D41" s="176" t="str">
        <f t="shared" si="0"/>
        <v>C</v>
      </c>
      <c r="E41" s="177" t="d">
        <v>2021-10-25T19:30:00.000</v>
      </c>
      <c r="F41" s="178" t="s">
        <v>81</v>
      </c>
      <c r="G41" s="179">
        <v>15481.18</v>
      </c>
      <c r="H41" s="179">
        <v>15431.1</v>
      </c>
      <c r="I41" s="180">
        <f t="shared" si="1"/>
        <v>50.079999999999927</v>
      </c>
      <c r="J41" s="179">
        <v>15781.66</v>
      </c>
      <c r="K41" s="177" t="d">
        <v>2021-10-26T18:31:59.99999997206032275</v>
      </c>
      <c r="L41" s="179">
        <v>15641.64</v>
      </c>
      <c r="M41" s="181">
        <f t="shared" si="2"/>
        <v>160.46</v>
      </c>
      <c r="N41" s="182">
        <f t="shared" si="3"/>
        <v>3.2</v>
      </c>
      <c r="O41" s="183">
        <f t="shared" si="4"/>
        <v>0</v>
      </c>
      <c r="P41" s="184">
        <f t="shared" si="5"/>
        <v>3.2</v>
      </c>
      <c r="Q41" s="184">
        <f t="shared" si="6"/>
        <v>0</v>
      </c>
      <c r="R4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32755</v>
      </c>
      <c r="T4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41" s="186">
        <f ca="1">IF(Tabla336106734811[[#This Row],[Equity]]&lt;Tabla336106734811[[#This Row],[Equity Peak]],(Tabla336106734811[[#This Row],[Equity Peak]]-Tabla336106734811[[#This Row],[Equity]])/Tabla336106734811[[#This Row],[Equity Peak]],"")</f>
        <v>1.7693807167491377E-2</v>
      </c>
      <c r="V41" s="187">
        <f t="shared" si="7"/>
        <v>0</v>
      </c>
      <c r="W41" s="187">
        <f t="shared" si="8"/>
        <v>0</v>
      </c>
      <c r="X41" s="187">
        <f t="shared" si="9"/>
        <v>0</v>
      </c>
      <c r="Y41" s="187">
        <f t="shared" si="10"/>
        <v>0</v>
      </c>
      <c r="Z41" s="187">
        <f t="shared" si="11"/>
        <v>3.2</v>
      </c>
      <c r="AA41" s="183">
        <f t="shared" si="12"/>
        <v>0</v>
      </c>
      <c r="AB41" s="187">
        <f t="shared" si="13"/>
        <v>0</v>
      </c>
      <c r="AC41" s="183">
        <f t="shared" si="14"/>
        <v>0</v>
      </c>
      <c r="AD41" s="188">
        <f t="shared" si="15"/>
        <v>0.95972222222189885</v>
      </c>
      <c r="AE41" s="188">
        <f t="shared" si="16"/>
        <v>0.95972222222189885</v>
      </c>
      <c r="AF41" s="188">
        <f t="shared" si="17"/>
        <v>0</v>
      </c>
      <c r="AG41" s="188">
        <f t="shared" si="18"/>
        <v>0</v>
      </c>
    </row>
    <row r="42" spans="2:33" ht="15" customHeight="1" x14ac:dyDescent="0.15">
      <c r="B42" s="174" t="s">
        <v>5</v>
      </c>
      <c r="C42" s="175" t="s">
        <v>15</v>
      </c>
      <c r="D42" s="176" t="str">
        <f t="shared" si="0"/>
        <v>C</v>
      </c>
      <c r="E42" s="177" t="d">
        <v>2021-10-21T22:15:00.00000020954757600</v>
      </c>
      <c r="F42" s="178" t="s">
        <v>81</v>
      </c>
      <c r="G42" s="179">
        <v>15466.1</v>
      </c>
      <c r="H42" s="179">
        <v>15423.95</v>
      </c>
      <c r="I42" s="180">
        <f t="shared" si="1"/>
        <v>42.149999999999636</v>
      </c>
      <c r="J42" s="179">
        <v>15719.02</v>
      </c>
      <c r="K42" s="177" t="d">
        <v>2021-10-21T23:16:59.99999976251274675</v>
      </c>
      <c r="L42" s="179">
        <v>15423.95</v>
      </c>
      <c r="M42" s="181">
        <f t="shared" si="2"/>
        <v>-42.15</v>
      </c>
      <c r="N42" s="182">
        <f t="shared" si="3"/>
        <v>-1</v>
      </c>
      <c r="O42" s="183">
        <f t="shared" si="4"/>
        <v>0</v>
      </c>
      <c r="P42" s="184">
        <f t="shared" si="5"/>
        <v>0</v>
      </c>
      <c r="Q42" s="184">
        <f t="shared" si="6"/>
        <v>-1</v>
      </c>
      <c r="R4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31955</v>
      </c>
      <c r="T4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42" s="186">
        <f ca="1">IF(Tabla336106734811[[#This Row],[Equity]]&lt;Tabla336106734811[[#This Row],[Equity Peak]],(Tabla336106734811[[#This Row],[Equity Peak]]-Tabla336106734811[[#This Row],[Equity]])/Tabla336106734811[[#This Row],[Equity Peak]],"")</f>
        <v>4.1685410106462741E-2</v>
      </c>
      <c r="V42" s="187">
        <f t="shared" si="7"/>
        <v>0</v>
      </c>
      <c r="W42" s="187">
        <f t="shared" si="8"/>
        <v>0</v>
      </c>
      <c r="X42" s="187">
        <f t="shared" si="9"/>
        <v>0</v>
      </c>
      <c r="Y42" s="187">
        <f t="shared" si="10"/>
        <v>0</v>
      </c>
      <c r="Z42" s="187">
        <f t="shared" si="11"/>
        <v>-1</v>
      </c>
      <c r="AA42" s="183">
        <f t="shared" si="12"/>
        <v>0</v>
      </c>
      <c r="AB42" s="187">
        <f t="shared" si="13"/>
        <v>0</v>
      </c>
      <c r="AC42" s="183">
        <f t="shared" si="14"/>
        <v>0</v>
      </c>
      <c r="AD42" s="188">
        <f t="shared" si="15"/>
        <v>4.3055555550381541E-2</v>
      </c>
      <c r="AE42" s="188">
        <f t="shared" si="16"/>
        <v>0</v>
      </c>
      <c r="AF42" s="188">
        <f t="shared" si="17"/>
        <v>4.3055555550381541E-2</v>
      </c>
      <c r="AG42" s="188">
        <f t="shared" si="18"/>
        <v>0</v>
      </c>
    </row>
    <row r="43" spans="2:33" ht="15" customHeight="1" x14ac:dyDescent="0.15">
      <c r="B43" s="174" t="s">
        <v>5</v>
      </c>
      <c r="C43" s="175" t="s">
        <v>15</v>
      </c>
      <c r="D43" s="176" t="str">
        <f t="shared" si="0"/>
        <v>C</v>
      </c>
      <c r="E43" s="177" t="d">
        <v>2021-10-18T18:00:00.000</v>
      </c>
      <c r="F43" s="178" t="s">
        <v>81</v>
      </c>
      <c r="G43" s="179">
        <v>15177.04</v>
      </c>
      <c r="H43" s="179">
        <v>15125.7</v>
      </c>
      <c r="I43" s="180">
        <f t="shared" si="1"/>
        <v>51.340000000000146</v>
      </c>
      <c r="J43" s="179">
        <v>15485.1</v>
      </c>
      <c r="K43" s="177" t="d">
        <v>2021-10-19T16:31:59.99999976251274675</v>
      </c>
      <c r="L43" s="179">
        <v>15325.04</v>
      </c>
      <c r="M43" s="181">
        <f t="shared" si="2"/>
        <v>148</v>
      </c>
      <c r="N43" s="182">
        <f t="shared" si="3"/>
        <v>2.88</v>
      </c>
      <c r="O43" s="183">
        <f t="shared" si="4"/>
        <v>0</v>
      </c>
      <c r="P43" s="184">
        <f t="shared" si="5"/>
        <v>2.88</v>
      </c>
      <c r="Q43" s="184">
        <f t="shared" si="6"/>
        <v>0</v>
      </c>
      <c r="R4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32205</v>
      </c>
      <c r="T4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43" s="186">
        <f ca="1">IF(Tabla336106734811[[#This Row],[Equity]]&lt;Tabla336106734811[[#This Row],[Equity Peak]],(Tabla336106734811[[#This Row],[Equity Peak]]-Tabla336106734811[[#This Row],[Equity]])/Tabla336106734811[[#This Row],[Equity Peak]],"")</f>
        <v>3.4188034188034191E-2</v>
      </c>
      <c r="V43" s="187">
        <f t="shared" si="7"/>
        <v>0</v>
      </c>
      <c r="W43" s="187">
        <f t="shared" si="8"/>
        <v>0</v>
      </c>
      <c r="X43" s="187">
        <f t="shared" si="9"/>
        <v>0</v>
      </c>
      <c r="Y43" s="187">
        <f t="shared" si="10"/>
        <v>0</v>
      </c>
      <c r="Z43" s="187">
        <f t="shared" si="11"/>
        <v>2.88</v>
      </c>
      <c r="AA43" s="183">
        <f t="shared" si="12"/>
        <v>0</v>
      </c>
      <c r="AB43" s="187">
        <f t="shared" si="13"/>
        <v>0</v>
      </c>
      <c r="AC43" s="183">
        <f t="shared" si="14"/>
        <v>0</v>
      </c>
      <c r="AD43" s="188">
        <f t="shared" si="15"/>
        <v>0.93888888888614019</v>
      </c>
      <c r="AE43" s="188">
        <f t="shared" si="16"/>
        <v>0.93888888888614019</v>
      </c>
      <c r="AF43" s="188">
        <f t="shared" si="17"/>
        <v>0</v>
      </c>
      <c r="AG43" s="188">
        <f t="shared" si="18"/>
        <v>0</v>
      </c>
    </row>
    <row r="44" spans="2:33" ht="15" customHeight="1" x14ac:dyDescent="0.15">
      <c r="B44" s="174" t="s">
        <v>5</v>
      </c>
      <c r="C44" s="175" t="s">
        <v>15</v>
      </c>
      <c r="D44" s="176" t="str">
        <f t="shared" si="0"/>
        <v>C</v>
      </c>
      <c r="E44" s="177" t="d">
        <v>2021-10-14T15:00:00.000</v>
      </c>
      <c r="F44" s="178" t="s">
        <v>81</v>
      </c>
      <c r="G44" s="179">
        <v>14917.17</v>
      </c>
      <c r="H44" s="179">
        <v>14851.73</v>
      </c>
      <c r="I44" s="180">
        <f t="shared" si="1"/>
        <v>65.440000000000509</v>
      </c>
      <c r="J44" s="179">
        <v>15309.82</v>
      </c>
      <c r="K44" s="177" t="d">
        <v>2021-10-15T10:41:00.00000026542693050</v>
      </c>
      <c r="L44" s="179">
        <v>15055.4</v>
      </c>
      <c r="M44" s="181">
        <f t="shared" si="2"/>
        <v>138.22999999999999</v>
      </c>
      <c r="N44" s="182">
        <f t="shared" si="3"/>
        <v>2.11</v>
      </c>
      <c r="O44" s="183">
        <f t="shared" si="4"/>
        <v>0</v>
      </c>
      <c r="P44" s="184">
        <f t="shared" si="5"/>
        <v>2.11</v>
      </c>
      <c r="Q44" s="184">
        <f t="shared" si="6"/>
        <v>0</v>
      </c>
      <c r="R4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31485</v>
      </c>
      <c r="T4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44" s="186">
        <f ca="1">IF(Tabla336106734811[[#This Row],[Equity]]&lt;Tabla336106734811[[#This Row],[Equity Peak]],(Tabla336106734811[[#This Row],[Equity Peak]]-Tabla336106734811[[#This Row],[Equity]])/Tabla336106734811[[#This Row],[Equity Peak]],"")</f>
        <v>5.5780476833108411E-2</v>
      </c>
      <c r="V44" s="187">
        <f t="shared" si="7"/>
        <v>0</v>
      </c>
      <c r="W44" s="187">
        <f t="shared" si="8"/>
        <v>0</v>
      </c>
      <c r="X44" s="187">
        <f t="shared" si="9"/>
        <v>0</v>
      </c>
      <c r="Y44" s="187">
        <f t="shared" si="10"/>
        <v>0</v>
      </c>
      <c r="Z44" s="187">
        <f t="shared" si="11"/>
        <v>2.11</v>
      </c>
      <c r="AA44" s="183">
        <f t="shared" si="12"/>
        <v>0</v>
      </c>
      <c r="AB44" s="187">
        <f t="shared" si="13"/>
        <v>0</v>
      </c>
      <c r="AC44" s="183">
        <f t="shared" si="14"/>
        <v>0</v>
      </c>
      <c r="AD44" s="188">
        <f t="shared" si="15"/>
        <v>0.82013888889196096</v>
      </c>
      <c r="AE44" s="188">
        <f t="shared" si="16"/>
        <v>0.82013888889196096</v>
      </c>
      <c r="AF44" s="188">
        <f t="shared" si="17"/>
        <v>0</v>
      </c>
      <c r="AG44" s="188">
        <f t="shared" si="18"/>
        <v>0</v>
      </c>
    </row>
    <row r="45" spans="2:33" ht="15" customHeight="1" x14ac:dyDescent="0.15">
      <c r="B45" s="174" t="s">
        <v>5</v>
      </c>
      <c r="C45" s="175" t="s">
        <v>13</v>
      </c>
      <c r="D45" s="176" t="str">
        <f t="shared" si="0"/>
        <v>C</v>
      </c>
      <c r="E45" s="177" t="d">
        <v>2021-10-12T02:00:00.00000020954757600</v>
      </c>
      <c r="F45" s="178" t="s">
        <v>81</v>
      </c>
      <c r="G45" s="179">
        <v>14674.44</v>
      </c>
      <c r="H45" s="179">
        <v>14743.6</v>
      </c>
      <c r="I45" s="180">
        <f t="shared" si="1"/>
        <v>69.159999999999854</v>
      </c>
      <c r="J45" s="179">
        <v>14259.48</v>
      </c>
      <c r="K45" s="177" t="d">
        <v>2021-10-12T12:01:59.99999976251274675</v>
      </c>
      <c r="L45" s="179">
        <v>14714.5</v>
      </c>
      <c r="M45" s="181">
        <f t="shared" si="2"/>
        <v>-40.06</v>
      </c>
      <c r="N45" s="182">
        <f t="shared" si="3"/>
        <v>-0.57999999999999996</v>
      </c>
      <c r="O45" s="183">
        <f t="shared" si="4"/>
        <v>0</v>
      </c>
      <c r="P45" s="184">
        <f t="shared" si="5"/>
        <v>0</v>
      </c>
      <c r="Q45" s="184">
        <f t="shared" si="6"/>
        <v>-0.57999999999999996</v>
      </c>
      <c r="R4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30957.5</v>
      </c>
      <c r="T4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45" s="186">
        <f ca="1">IF(Tabla336106734811[[#This Row],[Equity]]&lt;Tabla336106734811[[#This Row],[Equity Peak]],(Tabla336106734811[[#This Row],[Equity Peak]]-Tabla336106734811[[#This Row],[Equity]])/Tabla336106734811[[#This Row],[Equity Peak]],"")</f>
        <v>7.1599940020992653E-2</v>
      </c>
      <c r="V45" s="187">
        <f t="shared" si="7"/>
        <v>0</v>
      </c>
      <c r="W45" s="187">
        <f t="shared" si="8"/>
        <v>0</v>
      </c>
      <c r="X45" s="187">
        <f t="shared" si="9"/>
        <v>0</v>
      </c>
      <c r="Y45" s="187">
        <f t="shared" si="10"/>
        <v>0</v>
      </c>
      <c r="Z45" s="187">
        <f t="shared" si="11"/>
        <v>-0.57999999999999996</v>
      </c>
      <c r="AA45" s="183">
        <f t="shared" si="12"/>
        <v>0</v>
      </c>
      <c r="AB45" s="187">
        <f t="shared" si="13"/>
        <v>0</v>
      </c>
      <c r="AC45" s="183">
        <f t="shared" si="14"/>
        <v>0</v>
      </c>
      <c r="AD45" s="188">
        <f t="shared" si="15"/>
        <v>0.41805555555038154</v>
      </c>
      <c r="AE45" s="188">
        <f t="shared" si="16"/>
        <v>0</v>
      </c>
      <c r="AF45" s="188">
        <f t="shared" si="17"/>
        <v>0.41805555555038154</v>
      </c>
      <c r="AG45" s="188">
        <f t="shared" si="18"/>
        <v>0</v>
      </c>
    </row>
    <row r="46" spans="2:33" ht="15" customHeight="1" x14ac:dyDescent="0.15">
      <c r="B46" s="174" t="s">
        <v>5</v>
      </c>
      <c r="C46" s="175" t="s">
        <v>13</v>
      </c>
      <c r="D46" s="176" t="str">
        <f t="shared" si="0"/>
        <v>C</v>
      </c>
      <c r="E46" s="177" t="d">
        <v>2021-10-11T01:15:00.00000020954757600</v>
      </c>
      <c r="F46" s="178" t="s">
        <v>81</v>
      </c>
      <c r="G46" s="179">
        <v>14789.35</v>
      </c>
      <c r="H46" s="179">
        <v>14853.49</v>
      </c>
      <c r="I46" s="180">
        <f t="shared" si="1"/>
        <v>64.139999999999418</v>
      </c>
      <c r="J46" s="179">
        <v>14404.53</v>
      </c>
      <c r="K46" s="177" t="d">
        <v>2021-10-11T16:38:00.00000030733644975</v>
      </c>
      <c r="L46" s="179">
        <v>14801.28</v>
      </c>
      <c r="M46" s="181">
        <f t="shared" si="2"/>
        <v>-11.93</v>
      </c>
      <c r="N46" s="182">
        <f t="shared" si="3"/>
        <v>-0.19</v>
      </c>
      <c r="O46" s="183">
        <f t="shared" si="4"/>
        <v>0</v>
      </c>
      <c r="P46" s="184">
        <f t="shared" si="5"/>
        <v>0</v>
      </c>
      <c r="Q46" s="184">
        <f t="shared" si="6"/>
        <v>-0.19</v>
      </c>
      <c r="R4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31102.5</v>
      </c>
      <c r="T4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46" s="186">
        <f ca="1">IF(Tabla336106734811[[#This Row],[Equity]]&lt;Tabla336106734811[[#This Row],[Equity Peak]],(Tabla336106734811[[#This Row],[Equity Peak]]-Tabla336106734811[[#This Row],[Equity]])/Tabla336106734811[[#This Row],[Equity Peak]],"")</f>
        <v>6.725146198830409E-2</v>
      </c>
      <c r="V46" s="187">
        <f t="shared" si="7"/>
        <v>0</v>
      </c>
      <c r="W46" s="187">
        <f t="shared" si="8"/>
        <v>0</v>
      </c>
      <c r="X46" s="187">
        <f t="shared" si="9"/>
        <v>0</v>
      </c>
      <c r="Y46" s="187">
        <f t="shared" si="10"/>
        <v>0</v>
      </c>
      <c r="Z46" s="187">
        <f t="shared" si="11"/>
        <v>-0.19</v>
      </c>
      <c r="AA46" s="183">
        <f t="shared" si="12"/>
        <v>0</v>
      </c>
      <c r="AB46" s="187">
        <f t="shared" si="13"/>
        <v>0</v>
      </c>
      <c r="AC46" s="183">
        <f t="shared" si="14"/>
        <v>0</v>
      </c>
      <c r="AD46" s="188">
        <f t="shared" si="15"/>
        <v>0.64097222222335404</v>
      </c>
      <c r="AE46" s="188">
        <f t="shared" si="16"/>
        <v>0</v>
      </c>
      <c r="AF46" s="188">
        <f t="shared" si="17"/>
        <v>0.64097222222335404</v>
      </c>
      <c r="AG46" s="188">
        <f t="shared" si="18"/>
        <v>0</v>
      </c>
    </row>
    <row r="47" spans="2:33" ht="15" customHeight="1" x14ac:dyDescent="0.15">
      <c r="B47" s="174" t="s">
        <v>5</v>
      </c>
      <c r="C47" s="175" t="s">
        <v>13</v>
      </c>
      <c r="D47" s="176" t="str">
        <f t="shared" si="0"/>
        <v>C</v>
      </c>
      <c r="E47" s="177" t="d">
        <v>2021-10-08T20:29:59.99999979045242400</v>
      </c>
      <c r="F47" s="178" t="s">
        <v>81</v>
      </c>
      <c r="G47" s="179">
        <v>14804.2</v>
      </c>
      <c r="H47" s="179">
        <v>14872.71</v>
      </c>
      <c r="I47" s="180">
        <f t="shared" si="1"/>
        <v>68.509999999998399</v>
      </c>
      <c r="J47" s="179">
        <v>14393.15</v>
      </c>
      <c r="K47" s="177" t="d">
        <v>2021-10-08T21:27:59.99999981839210125</v>
      </c>
      <c r="L47" s="179">
        <v>14872.71</v>
      </c>
      <c r="M47" s="181">
        <f t="shared" si="2"/>
        <v>-68.510000000000005</v>
      </c>
      <c r="N47" s="182">
        <f t="shared" si="3"/>
        <v>-1</v>
      </c>
      <c r="O47" s="183">
        <f t="shared" si="4"/>
        <v>0</v>
      </c>
      <c r="P47" s="184">
        <f t="shared" si="5"/>
        <v>0</v>
      </c>
      <c r="Q47" s="184">
        <f t="shared" si="6"/>
        <v>-1</v>
      </c>
      <c r="R4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31150</v>
      </c>
      <c r="T4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47" s="186">
        <f ca="1">IF(Tabla336106734811[[#This Row],[Equity]]&lt;Tabla336106734811[[#This Row],[Equity Peak]],(Tabla336106734811[[#This Row],[Equity Peak]]-Tabla336106734811[[#This Row],[Equity]])/Tabla336106734811[[#This Row],[Equity Peak]],"")</f>
        <v>6.5826960563802675E-2</v>
      </c>
      <c r="V47" s="187">
        <f t="shared" si="7"/>
        <v>0</v>
      </c>
      <c r="W47" s="187">
        <f t="shared" si="8"/>
        <v>0</v>
      </c>
      <c r="X47" s="187">
        <f t="shared" si="9"/>
        <v>0</v>
      </c>
      <c r="Y47" s="187">
        <f t="shared" si="10"/>
        <v>0</v>
      </c>
      <c r="Z47" s="187">
        <f t="shared" si="11"/>
        <v>-1</v>
      </c>
      <c r="AA47" s="183">
        <f t="shared" si="12"/>
        <v>0</v>
      </c>
      <c r="AB47" s="187">
        <f t="shared" si="13"/>
        <v>0</v>
      </c>
      <c r="AC47" s="183">
        <f t="shared" si="14"/>
        <v>0</v>
      </c>
      <c r="AD47" s="188">
        <f t="shared" si="15"/>
        <v>4.0277777778101154E-2</v>
      </c>
      <c r="AE47" s="188">
        <f t="shared" si="16"/>
        <v>0</v>
      </c>
      <c r="AF47" s="188">
        <f t="shared" si="17"/>
        <v>4.0277777778101154E-2</v>
      </c>
      <c r="AG47" s="188">
        <f t="shared" si="18"/>
        <v>0</v>
      </c>
    </row>
    <row r="48" spans="2:33" ht="15" customHeight="1" x14ac:dyDescent="0.15">
      <c r="B48" s="174" t="s">
        <v>5</v>
      </c>
      <c r="C48" s="175" t="s">
        <v>15</v>
      </c>
      <c r="D48" s="176" t="str">
        <f t="shared" si="0"/>
        <v>C</v>
      </c>
      <c r="E48" s="177" t="d">
        <v>2021-10-07T18:59:59.99999979045242400</v>
      </c>
      <c r="F48" s="178" t="s">
        <v>81</v>
      </c>
      <c r="G48" s="179">
        <v>15005.41</v>
      </c>
      <c r="H48" s="179">
        <v>14927.26</v>
      </c>
      <c r="I48" s="180">
        <f t="shared" si="1"/>
        <v>78.149999999999636</v>
      </c>
      <c r="J48" s="179">
        <v>15474.31</v>
      </c>
      <c r="K48" s="177" t="d">
        <v>2021-10-07T21:42:00.0000000419095125</v>
      </c>
      <c r="L48" s="179">
        <v>14927.26</v>
      </c>
      <c r="M48" s="181">
        <f t="shared" si="2"/>
        <v>-78.150000000000006</v>
      </c>
      <c r="N48" s="182">
        <f t="shared" si="3"/>
        <v>-1</v>
      </c>
      <c r="O48" s="183">
        <f t="shared" si="4"/>
        <v>0</v>
      </c>
      <c r="P48" s="184">
        <f t="shared" si="5"/>
        <v>0</v>
      </c>
      <c r="Q48" s="184">
        <f t="shared" si="6"/>
        <v>-1</v>
      </c>
      <c r="R4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31400</v>
      </c>
      <c r="T4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48" s="186">
        <f ca="1">IF(Tabla336106734811[[#This Row],[Equity]]&lt;Tabla336106734811[[#This Row],[Equity Peak]],(Tabla336106734811[[#This Row],[Equity Peak]]-Tabla336106734811[[#This Row],[Equity]])/Tabla336106734811[[#This Row],[Equity Peak]],"")</f>
        <v>5.8329584645374119E-2</v>
      </c>
      <c r="V48" s="187">
        <f t="shared" si="7"/>
        <v>0</v>
      </c>
      <c r="W48" s="187">
        <f t="shared" si="8"/>
        <v>0</v>
      </c>
      <c r="X48" s="187">
        <f t="shared" si="9"/>
        <v>0</v>
      </c>
      <c r="Y48" s="187">
        <f t="shared" si="10"/>
        <v>0</v>
      </c>
      <c r="Z48" s="187">
        <f t="shared" si="11"/>
        <v>-1</v>
      </c>
      <c r="AA48" s="183">
        <f t="shared" si="12"/>
        <v>0</v>
      </c>
      <c r="AB48" s="187">
        <f t="shared" si="13"/>
        <v>0</v>
      </c>
      <c r="AC48" s="183">
        <f t="shared" si="14"/>
        <v>0</v>
      </c>
      <c r="AD48" s="188">
        <f t="shared" si="15"/>
        <v>0.11250000000291038</v>
      </c>
      <c r="AE48" s="188">
        <f t="shared" si="16"/>
        <v>0</v>
      </c>
      <c r="AF48" s="188">
        <f t="shared" si="17"/>
        <v>0.11250000000291038</v>
      </c>
      <c r="AG48" s="188">
        <f t="shared" si="18"/>
        <v>0</v>
      </c>
    </row>
    <row r="49" spans="2:33" ht="15" customHeight="1" x14ac:dyDescent="0.15">
      <c r="B49" s="174" t="s">
        <v>5</v>
      </c>
      <c r="C49" s="175" t="s">
        <v>13</v>
      </c>
      <c r="D49" s="176" t="str">
        <f t="shared" ref="D49:D80" si="19">IF(E49&lt;&gt;"",IF(K49&lt;&gt;"","C","O"),"")</f>
        <v>C</v>
      </c>
      <c r="E49" s="177" t="d">
        <v>2021-10-04T17:29:59.99999979045242400</v>
      </c>
      <c r="F49" s="178" t="s">
        <v>81</v>
      </c>
      <c r="G49" s="179">
        <v>14516.3</v>
      </c>
      <c r="H49" s="179">
        <v>14610.77</v>
      </c>
      <c r="I49" s="180">
        <f t="shared" ref="I49:I80" si="20">ABS(G49-H49)</f>
        <v>94.470000000001164</v>
      </c>
      <c r="J49" s="179">
        <v>13949.48</v>
      </c>
      <c r="K49" s="177" t="d">
        <v>2021-10-05T10:12:00.00000025145709525</v>
      </c>
      <c r="L49" s="179">
        <v>14530.1</v>
      </c>
      <c r="M49" s="181">
        <f t="shared" ref="M49:M80" si="21">ROUND(IF(C49="L",(L49-G49),(G49-L49)),4)</f>
        <v>-13.8</v>
      </c>
      <c r="N49" s="182">
        <f t="shared" ref="N49:N80" si="22">IFERROR(ROUND((M49/I49),2),"")</f>
        <v>-0.15</v>
      </c>
      <c r="O49" s="183">
        <f t="shared" ref="O49:O80" si="23">IF(D49="O",IF(N49&lt;0,N49,0),0)</f>
        <v>0</v>
      </c>
      <c r="P49" s="184">
        <f t="shared" ref="P49:P80" si="24">IF(N49&gt;= 0,N49,0)</f>
        <v>0</v>
      </c>
      <c r="Q49" s="184">
        <f t="shared" ref="Q49:Q80" si="25">IF(N49&lt;0,N49,0)</f>
        <v>-0.15</v>
      </c>
      <c r="R4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4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31650</v>
      </c>
      <c r="T4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49" s="186">
        <f ca="1">IF(Tabla336106734811[[#This Row],[Equity]]&lt;Tabla336106734811[[#This Row],[Equity Peak]],(Tabla336106734811[[#This Row],[Equity Peak]]-Tabla336106734811[[#This Row],[Equity]])/Tabla336106734811[[#This Row],[Equity Peak]],"")</f>
        <v>5.083220872694557E-2</v>
      </c>
      <c r="V49" s="187">
        <f t="shared" ref="V49:V80" si="26">IF(B49="FX",N49,0)</f>
        <v>0</v>
      </c>
      <c r="W49" s="187">
        <f t="shared" ref="W49:W80" si="27">IF(D49="O",IF(V49&lt;0,V49,0),0)</f>
        <v>0</v>
      </c>
      <c r="X49" s="187">
        <f t="shared" ref="X49:X80" si="28">IF(B49="COM",N49,0)</f>
        <v>0</v>
      </c>
      <c r="Y49" s="187">
        <f t="shared" ref="Y49:Y80" si="29">IF(D49="O",IF(X49&lt;0,X49,0),0)</f>
        <v>0</v>
      </c>
      <c r="Z49" s="187">
        <f t="shared" ref="Z49:Z80" si="30">IF(B49="IND",N49,0)</f>
        <v>-0.15</v>
      </c>
      <c r="AA49" s="183">
        <f t="shared" ref="AA49:AA80" si="31">IF(D49="O",IF(Z49&lt;0,Z49,0),0)</f>
        <v>0</v>
      </c>
      <c r="AB49" s="187">
        <f t="shared" ref="AB49:AB80" si="32">IF(B49="CRYPTO",N49,0)</f>
        <v>0</v>
      </c>
      <c r="AC49" s="183">
        <f t="shared" ref="AC49:AC80" si="33">IF(D49="O",IF(AB49&lt;0,AB49,0),0)</f>
        <v>0</v>
      </c>
      <c r="AD49" s="188">
        <f t="shared" ref="AD49:AD80" si="34">IF(K49&lt;&gt;"",K49-E49,0)</f>
        <v>0.69583333333866904</v>
      </c>
      <c r="AE49" s="188">
        <f t="shared" ref="AE49:AE80" si="35">IF(N49&gt;0,AD49,0)</f>
        <v>0</v>
      </c>
      <c r="AF49" s="188">
        <f t="shared" ref="AF49:AF80" si="36">IF(N49&lt;0,AD49,0)</f>
        <v>0.69583333333866904</v>
      </c>
      <c r="AG49" s="188">
        <f t="shared" ref="AG49:AG80" si="37">IF(N49=0,AD49,0)</f>
        <v>0</v>
      </c>
    </row>
    <row r="50" spans="2:33" ht="15" customHeight="1" x14ac:dyDescent="0.15">
      <c r="B50" s="174" t="s">
        <v>5</v>
      </c>
      <c r="C50" s="175" t="s">
        <v>13</v>
      </c>
      <c r="D50" s="176" t="str">
        <f t="shared" si="19"/>
        <v>C</v>
      </c>
      <c r="E50" s="177" t="d">
        <v>2021-10-01T17:29:59.99999979045242400</v>
      </c>
      <c r="F50" s="178" t="s">
        <v>81</v>
      </c>
      <c r="G50" s="179">
        <v>14557.67</v>
      </c>
      <c r="H50" s="179">
        <v>14647.9</v>
      </c>
      <c r="I50" s="180">
        <f t="shared" si="20"/>
        <v>90.229999999999563</v>
      </c>
      <c r="J50" s="179">
        <v>14016.3</v>
      </c>
      <c r="K50" s="177" t="d">
        <v>2021-10-01T18:11:00.00000026542693050</v>
      </c>
      <c r="L50" s="179">
        <v>14647.9</v>
      </c>
      <c r="M50" s="181">
        <f t="shared" si="21"/>
        <v>-90.23</v>
      </c>
      <c r="N50" s="182">
        <f t="shared" si="22"/>
        <v>-1</v>
      </c>
      <c r="O50" s="183">
        <f t="shared" si="23"/>
        <v>0</v>
      </c>
      <c r="P50" s="184">
        <f t="shared" si="24"/>
        <v>0</v>
      </c>
      <c r="Q50" s="184">
        <f t="shared" si="25"/>
        <v>-1</v>
      </c>
      <c r="R5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31687.5</v>
      </c>
      <c r="T5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50" s="186">
        <f ca="1">IF(Tabla336106734811[[#This Row],[Equity]]&lt;Tabla336106734811[[#This Row],[Equity Peak]],(Tabla336106734811[[#This Row],[Equity Peak]]-Tabla336106734811[[#This Row],[Equity]])/Tabla336106734811[[#This Row],[Equity Peak]],"")</f>
        <v>4.9707602339181284E-2</v>
      </c>
      <c r="V50" s="187">
        <f t="shared" si="26"/>
        <v>0</v>
      </c>
      <c r="W50" s="187">
        <f t="shared" si="27"/>
        <v>0</v>
      </c>
      <c r="X50" s="187">
        <f t="shared" si="28"/>
        <v>0</v>
      </c>
      <c r="Y50" s="187">
        <f t="shared" si="29"/>
        <v>0</v>
      </c>
      <c r="Z50" s="187">
        <f t="shared" si="30"/>
        <v>-1</v>
      </c>
      <c r="AA50" s="183">
        <f t="shared" si="31"/>
        <v>0</v>
      </c>
      <c r="AB50" s="187">
        <f t="shared" si="32"/>
        <v>0</v>
      </c>
      <c r="AC50" s="183">
        <f t="shared" si="33"/>
        <v>0</v>
      </c>
      <c r="AD50" s="188">
        <f t="shared" si="34"/>
        <v>2.8472222227719612E-2</v>
      </c>
      <c r="AE50" s="188">
        <f t="shared" si="35"/>
        <v>0</v>
      </c>
      <c r="AF50" s="188">
        <f t="shared" si="36"/>
        <v>2.8472222227719612E-2</v>
      </c>
      <c r="AG50" s="188">
        <f t="shared" si="37"/>
        <v>0</v>
      </c>
    </row>
    <row r="51" spans="2:33" ht="15" customHeight="1" x14ac:dyDescent="0.15">
      <c r="B51" s="174" t="s">
        <v>5</v>
      </c>
      <c r="C51" s="175" t="s">
        <v>13</v>
      </c>
      <c r="D51" s="176" t="str">
        <f t="shared" si="19"/>
        <v>C</v>
      </c>
      <c r="E51" s="177" t="d">
        <v>2021-09-30T23:00:00.00000020954757600</v>
      </c>
      <c r="F51" s="178" t="s">
        <v>81</v>
      </c>
      <c r="G51" s="179">
        <v>14681.41</v>
      </c>
      <c r="H51" s="179">
        <v>14768.12</v>
      </c>
      <c r="I51" s="180">
        <f t="shared" si="20"/>
        <v>86.710000000000946</v>
      </c>
      <c r="J51" s="179">
        <v>14161.15</v>
      </c>
      <c r="K51" s="177" t="d">
        <v>2021-10-01T14:22:00.00000011175870900</v>
      </c>
      <c r="L51" s="179">
        <v>14701.25</v>
      </c>
      <c r="M51" s="181">
        <f t="shared" si="21"/>
        <v>-19.84</v>
      </c>
      <c r="N51" s="182">
        <f t="shared" si="22"/>
        <v>-0.23</v>
      </c>
      <c r="O51" s="183">
        <f t="shared" si="23"/>
        <v>0</v>
      </c>
      <c r="P51" s="184">
        <f t="shared" si="24"/>
        <v>0</v>
      </c>
      <c r="Q51" s="184">
        <f t="shared" si="25"/>
        <v>-0.23</v>
      </c>
      <c r="R5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31937.5</v>
      </c>
      <c r="T5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51" s="186">
        <f ca="1">IF(Tabla336106734811[[#This Row],[Equity]]&lt;Tabla336106734811[[#This Row],[Equity Peak]],(Tabla336106734811[[#This Row],[Equity Peak]]-Tabla336106734811[[#This Row],[Equity]])/Tabla336106734811[[#This Row],[Equity Peak]],"")</f>
        <v>4.2210226420752735E-2</v>
      </c>
      <c r="V51" s="187">
        <f t="shared" si="26"/>
        <v>0</v>
      </c>
      <c r="W51" s="187">
        <f t="shared" si="27"/>
        <v>0</v>
      </c>
      <c r="X51" s="187">
        <f t="shared" si="28"/>
        <v>0</v>
      </c>
      <c r="Y51" s="187">
        <f t="shared" si="29"/>
        <v>0</v>
      </c>
      <c r="Z51" s="187">
        <f t="shared" si="30"/>
        <v>-0.23</v>
      </c>
      <c r="AA51" s="183">
        <f t="shared" si="31"/>
        <v>0</v>
      </c>
      <c r="AB51" s="187">
        <f t="shared" si="32"/>
        <v>0</v>
      </c>
      <c r="AC51" s="183">
        <f t="shared" si="33"/>
        <v>0</v>
      </c>
      <c r="AD51" s="188">
        <f t="shared" si="34"/>
        <v>0.64027777777664596</v>
      </c>
      <c r="AE51" s="188">
        <f t="shared" si="35"/>
        <v>0</v>
      </c>
      <c r="AF51" s="188">
        <f t="shared" si="36"/>
        <v>0.64027777777664596</v>
      </c>
      <c r="AG51" s="188">
        <f t="shared" si="37"/>
        <v>0</v>
      </c>
    </row>
    <row r="52" spans="2:33" ht="15" customHeight="1" x14ac:dyDescent="0.15">
      <c r="B52" s="174" t="s">
        <v>5</v>
      </c>
      <c r="C52" s="175" t="s">
        <v>13</v>
      </c>
      <c r="D52" s="176" t="str">
        <f t="shared" si="19"/>
        <v>C</v>
      </c>
      <c r="E52" s="177" t="d">
        <v>2021-09-30T19:15:00.00000020954757600</v>
      </c>
      <c r="F52" s="178" t="s">
        <v>81</v>
      </c>
      <c r="G52" s="179">
        <v>14709.91</v>
      </c>
      <c r="H52" s="179">
        <v>14796.84</v>
      </c>
      <c r="I52" s="180">
        <f t="shared" si="20"/>
        <v>86.930000000000291</v>
      </c>
      <c r="J52" s="179">
        <v>14188.36</v>
      </c>
      <c r="K52" s="177" t="d">
        <v>2021-09-30T21:05:59.99999991618096825</v>
      </c>
      <c r="L52" s="179">
        <v>14796.84</v>
      </c>
      <c r="M52" s="181">
        <f t="shared" si="21"/>
        <v>-86.93</v>
      </c>
      <c r="N52" s="182">
        <f t="shared" si="22"/>
        <v>-1</v>
      </c>
      <c r="O52" s="183">
        <f t="shared" si="23"/>
        <v>0</v>
      </c>
      <c r="P52" s="184">
        <f t="shared" si="24"/>
        <v>0</v>
      </c>
      <c r="Q52" s="184">
        <f t="shared" si="25"/>
        <v>-1</v>
      </c>
      <c r="R5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31995</v>
      </c>
      <c r="T5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52" s="186">
        <f ca="1">IF(Tabla336106734811[[#This Row],[Equity]]&lt;Tabla336106734811[[#This Row],[Equity Peak]],(Tabla336106734811[[#This Row],[Equity Peak]]-Tabla336106734811[[#This Row],[Equity]])/Tabla336106734811[[#This Row],[Equity Peak]],"")</f>
        <v>4.048582995951417E-2</v>
      </c>
      <c r="V52" s="187">
        <f t="shared" si="26"/>
        <v>0</v>
      </c>
      <c r="W52" s="187">
        <f t="shared" si="27"/>
        <v>0</v>
      </c>
      <c r="X52" s="187">
        <f t="shared" si="28"/>
        <v>0</v>
      </c>
      <c r="Y52" s="187">
        <f t="shared" si="29"/>
        <v>0</v>
      </c>
      <c r="Z52" s="187">
        <f t="shared" si="30"/>
        <v>-1</v>
      </c>
      <c r="AA52" s="183">
        <f t="shared" si="31"/>
        <v>0</v>
      </c>
      <c r="AB52" s="187">
        <f t="shared" si="32"/>
        <v>0</v>
      </c>
      <c r="AC52" s="183">
        <f t="shared" si="33"/>
        <v>0</v>
      </c>
      <c r="AD52" s="188">
        <f t="shared" si="34"/>
        <v>7.7083333329937886E-2</v>
      </c>
      <c r="AE52" s="188">
        <f t="shared" si="35"/>
        <v>0</v>
      </c>
      <c r="AF52" s="188">
        <f t="shared" si="36"/>
        <v>7.7083333329937886E-2</v>
      </c>
      <c r="AG52" s="188">
        <f t="shared" si="37"/>
        <v>0</v>
      </c>
    </row>
    <row r="53" spans="2:33" ht="15" customHeight="1" x14ac:dyDescent="0.15">
      <c r="B53" s="174" t="s">
        <v>5</v>
      </c>
      <c r="C53" s="175" t="s">
        <v>13</v>
      </c>
      <c r="D53" s="176" t="str">
        <f t="shared" si="19"/>
        <v>C</v>
      </c>
      <c r="E53" s="177" t="d">
        <v>2021-09-28T09:59:59.99999979045242400</v>
      </c>
      <c r="F53" s="178" t="s">
        <v>81</v>
      </c>
      <c r="G53" s="179">
        <v>15077.89</v>
      </c>
      <c r="H53" s="179">
        <v>15137.94</v>
      </c>
      <c r="I53" s="180">
        <f t="shared" si="20"/>
        <v>60.050000000001091</v>
      </c>
      <c r="J53" s="179">
        <v>14717.61</v>
      </c>
      <c r="K53" s="177" t="d">
        <v>2021-09-28T16:09:00.00000029336660775</v>
      </c>
      <c r="L53" s="179">
        <v>15009.32</v>
      </c>
      <c r="M53" s="181">
        <f t="shared" si="21"/>
        <v>68.569999999999993</v>
      </c>
      <c r="N53" s="182">
        <f t="shared" si="22"/>
        <v>1.1399999999999999</v>
      </c>
      <c r="O53" s="183">
        <f t="shared" si="23"/>
        <v>0</v>
      </c>
      <c r="P53" s="184">
        <f t="shared" si="24"/>
        <v>1.1399999999999999</v>
      </c>
      <c r="Q53" s="184">
        <f t="shared" si="25"/>
        <v>0</v>
      </c>
      <c r="R5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32245</v>
      </c>
      <c r="T5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53" s="186">
        <f ca="1">IF(Tabla336106734811[[#This Row],[Equity]]&lt;Tabla336106734811[[#This Row],[Equity Peak]],(Tabla336106734811[[#This Row],[Equity Peak]]-Tabla336106734811[[#This Row],[Equity]])/Tabla336106734811[[#This Row],[Equity Peak]],"")</f>
        <v>3.2988454041085621E-2</v>
      </c>
      <c r="V53" s="187">
        <f t="shared" si="26"/>
        <v>0</v>
      </c>
      <c r="W53" s="187">
        <f t="shared" si="27"/>
        <v>0</v>
      </c>
      <c r="X53" s="187">
        <f t="shared" si="28"/>
        <v>0</v>
      </c>
      <c r="Y53" s="187">
        <f t="shared" si="29"/>
        <v>0</v>
      </c>
      <c r="Z53" s="187">
        <f t="shared" si="30"/>
        <v>1.1399999999999999</v>
      </c>
      <c r="AA53" s="183">
        <f t="shared" si="31"/>
        <v>0</v>
      </c>
      <c r="AB53" s="187">
        <f t="shared" si="32"/>
        <v>0</v>
      </c>
      <c r="AC53" s="183">
        <f t="shared" si="33"/>
        <v>0</v>
      </c>
      <c r="AD53" s="188">
        <f t="shared" si="34"/>
        <v>0.25625000000582077</v>
      </c>
      <c r="AE53" s="188">
        <f t="shared" si="35"/>
        <v>0.25625000000582077</v>
      </c>
      <c r="AF53" s="188">
        <f t="shared" si="36"/>
        <v>0</v>
      </c>
      <c r="AG53" s="188">
        <f t="shared" si="37"/>
        <v>0</v>
      </c>
    </row>
    <row r="54" spans="2:33" ht="15" customHeight="1" x14ac:dyDescent="0.15">
      <c r="B54" s="174" t="s">
        <v>5</v>
      </c>
      <c r="C54" s="175" t="s">
        <v>13</v>
      </c>
      <c r="D54" s="176" t="str">
        <f t="shared" si="19"/>
        <v>C</v>
      </c>
      <c r="E54" s="177" t="d">
        <v>2021-09-27T16:44:59.99999979045242400</v>
      </c>
      <c r="F54" s="178" t="s">
        <v>81</v>
      </c>
      <c r="G54" s="179">
        <v>15116.34</v>
      </c>
      <c r="H54" s="179">
        <v>15174.03</v>
      </c>
      <c r="I54" s="180">
        <f t="shared" si="20"/>
        <v>57.690000000000509</v>
      </c>
      <c r="J54" s="179">
        <v>14770.23</v>
      </c>
      <c r="K54" s="177" t="d">
        <v>2021-09-27T17:23:00.00000030733644975</v>
      </c>
      <c r="L54" s="179">
        <v>15174.03</v>
      </c>
      <c r="M54" s="181">
        <f t="shared" si="21"/>
        <v>-57.69</v>
      </c>
      <c r="N54" s="182">
        <f t="shared" si="22"/>
        <v>-1</v>
      </c>
      <c r="O54" s="183">
        <f t="shared" si="23"/>
        <v>0</v>
      </c>
      <c r="P54" s="184">
        <f t="shared" si="24"/>
        <v>0</v>
      </c>
      <c r="Q54" s="184">
        <f t="shared" si="25"/>
        <v>-1</v>
      </c>
      <c r="R5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31960</v>
      </c>
      <c r="T5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54" s="186">
        <f ca="1">IF(Tabla336106734811[[#This Row],[Equity]]&lt;Tabla336106734811[[#This Row],[Equity Peak]],(Tabla336106734811[[#This Row],[Equity Peak]]-Tabla336106734811[[#This Row],[Equity]])/Tabla336106734811[[#This Row],[Equity Peak]],"")</f>
        <v>4.1535462588094166E-2</v>
      </c>
      <c r="V54" s="187">
        <f t="shared" si="26"/>
        <v>0</v>
      </c>
      <c r="W54" s="187">
        <f t="shared" si="27"/>
        <v>0</v>
      </c>
      <c r="X54" s="187">
        <f t="shared" si="28"/>
        <v>0</v>
      </c>
      <c r="Y54" s="187">
        <f t="shared" si="29"/>
        <v>0</v>
      </c>
      <c r="Z54" s="187">
        <f t="shared" si="30"/>
        <v>-1</v>
      </c>
      <c r="AA54" s="183">
        <f t="shared" si="31"/>
        <v>0</v>
      </c>
      <c r="AB54" s="187">
        <f t="shared" si="32"/>
        <v>0</v>
      </c>
      <c r="AC54" s="183">
        <f t="shared" si="33"/>
        <v>0</v>
      </c>
      <c r="AD54" s="188">
        <f t="shared" si="34"/>
        <v>2.6388888894871343E-2</v>
      </c>
      <c r="AE54" s="188">
        <f t="shared" si="35"/>
        <v>0</v>
      </c>
      <c r="AF54" s="188">
        <f t="shared" si="36"/>
        <v>2.6388888894871343E-2</v>
      </c>
      <c r="AG54" s="188">
        <f t="shared" si="37"/>
        <v>0</v>
      </c>
    </row>
    <row r="55" spans="2:33" ht="15" customHeight="1" x14ac:dyDescent="0.15">
      <c r="B55" s="174" t="s">
        <v>5</v>
      </c>
      <c r="C55" s="175" t="s">
        <v>15</v>
      </c>
      <c r="D55" s="176" t="str">
        <f t="shared" si="19"/>
        <v>C</v>
      </c>
      <c r="E55" s="177" t="d">
        <v>2021-09-27T03:14:59.99999979045242400</v>
      </c>
      <c r="F55" s="178" t="s">
        <v>81</v>
      </c>
      <c r="G55" s="179">
        <v>15362.17</v>
      </c>
      <c r="H55" s="179">
        <v>15306.61</v>
      </c>
      <c r="I55" s="180">
        <f t="shared" si="20"/>
        <v>55.559999999999491</v>
      </c>
      <c r="J55" s="179">
        <v>15695.54</v>
      </c>
      <c r="K55" s="177" t="d">
        <v>2021-09-27T12:30:00.00000020954757600</v>
      </c>
      <c r="L55" s="179">
        <v>15317.56</v>
      </c>
      <c r="M55" s="181">
        <f t="shared" si="21"/>
        <v>-44.61</v>
      </c>
      <c r="N55" s="182">
        <f t="shared" si="22"/>
        <v>-0.8</v>
      </c>
      <c r="O55" s="183">
        <f t="shared" si="23"/>
        <v>0</v>
      </c>
      <c r="P55" s="184">
        <f t="shared" si="24"/>
        <v>0</v>
      </c>
      <c r="Q55" s="184">
        <f t="shared" si="25"/>
        <v>-0.8</v>
      </c>
      <c r="R5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32210</v>
      </c>
      <c r="T5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55" s="186">
        <f ca="1">IF(Tabla336106734811[[#This Row],[Equity]]&lt;Tabla336106734811[[#This Row],[Equity Peak]],(Tabla336106734811[[#This Row],[Equity Peak]]-Tabla336106734811[[#This Row],[Equity]])/Tabla336106734811[[#This Row],[Equity Peak]],"")</f>
        <v>3.4038086669665617E-2</v>
      </c>
      <c r="V55" s="187">
        <f t="shared" si="26"/>
        <v>0</v>
      </c>
      <c r="W55" s="187">
        <f t="shared" si="27"/>
        <v>0</v>
      </c>
      <c r="X55" s="187">
        <f t="shared" si="28"/>
        <v>0</v>
      </c>
      <c r="Y55" s="187">
        <f t="shared" si="29"/>
        <v>0</v>
      </c>
      <c r="Z55" s="187">
        <f t="shared" si="30"/>
        <v>-0.8</v>
      </c>
      <c r="AA55" s="183">
        <f t="shared" si="31"/>
        <v>0</v>
      </c>
      <c r="AB55" s="187">
        <f t="shared" si="32"/>
        <v>0</v>
      </c>
      <c r="AC55" s="183">
        <f t="shared" si="33"/>
        <v>0</v>
      </c>
      <c r="AD55" s="188">
        <f t="shared" si="34"/>
        <v>0.38541666667151731</v>
      </c>
      <c r="AE55" s="188">
        <f t="shared" si="35"/>
        <v>0</v>
      </c>
      <c r="AF55" s="188">
        <f t="shared" si="36"/>
        <v>0.38541666667151731</v>
      </c>
      <c r="AG55" s="188">
        <f t="shared" si="37"/>
        <v>0</v>
      </c>
    </row>
    <row r="56" spans="2:33" ht="15" customHeight="1" x14ac:dyDescent="0.15">
      <c r="B56" s="174" t="s">
        <v>5</v>
      </c>
      <c r="C56" s="175" t="s">
        <v>15</v>
      </c>
      <c r="D56" s="176" t="str">
        <f t="shared" si="19"/>
        <v>C</v>
      </c>
      <c r="E56" s="177" t="d">
        <v>2021-09-23T20:45:00.00000020954757600</v>
      </c>
      <c r="F56" s="178" t="s">
        <v>81</v>
      </c>
      <c r="G56" s="179">
        <v>15348.95</v>
      </c>
      <c r="H56" s="179">
        <v>15280.41</v>
      </c>
      <c r="I56" s="180">
        <f t="shared" si="20"/>
        <v>68.540000000000873</v>
      </c>
      <c r="J56" s="179">
        <v>15760.2</v>
      </c>
      <c r="K56" s="177" t="d">
        <v>2021-09-24T08:09:00.00000008381903175</v>
      </c>
      <c r="L56" s="179">
        <v>15280.41</v>
      </c>
      <c r="M56" s="181">
        <f t="shared" si="21"/>
        <v>-68.540000000000006</v>
      </c>
      <c r="N56" s="182">
        <f t="shared" si="22"/>
        <v>-1</v>
      </c>
      <c r="O56" s="183">
        <f t="shared" si="23"/>
        <v>0</v>
      </c>
      <c r="P56" s="184">
        <f t="shared" si="24"/>
        <v>0</v>
      </c>
      <c r="Q56" s="184">
        <f t="shared" si="25"/>
        <v>-1</v>
      </c>
      <c r="R5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32410</v>
      </c>
      <c r="T5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56" s="186">
        <f ca="1">IF(Tabla336106734811[[#This Row],[Equity]]&lt;Tabla336106734811[[#This Row],[Equity Peak]],(Tabla336106734811[[#This Row],[Equity Peak]]-Tabla336106734811[[#This Row],[Equity]])/Tabla336106734811[[#This Row],[Equity Peak]],"")</f>
        <v>2.8040185934922777E-2</v>
      </c>
      <c r="V56" s="187">
        <f t="shared" si="26"/>
        <v>0</v>
      </c>
      <c r="W56" s="187">
        <f t="shared" si="27"/>
        <v>0</v>
      </c>
      <c r="X56" s="187">
        <f t="shared" si="28"/>
        <v>0</v>
      </c>
      <c r="Y56" s="187">
        <f t="shared" si="29"/>
        <v>0</v>
      </c>
      <c r="Z56" s="187">
        <f t="shared" si="30"/>
        <v>-1</v>
      </c>
      <c r="AA56" s="183">
        <f t="shared" si="31"/>
        <v>0</v>
      </c>
      <c r="AB56" s="187">
        <f t="shared" si="32"/>
        <v>0</v>
      </c>
      <c r="AC56" s="183">
        <f t="shared" si="33"/>
        <v>0</v>
      </c>
      <c r="AD56" s="188">
        <f t="shared" si="34"/>
        <v>0.47499999999854481</v>
      </c>
      <c r="AE56" s="188">
        <f t="shared" si="35"/>
        <v>0</v>
      </c>
      <c r="AF56" s="188">
        <f t="shared" si="36"/>
        <v>0.47499999999854481</v>
      </c>
      <c r="AG56" s="188">
        <f t="shared" si="37"/>
        <v>0</v>
      </c>
    </row>
    <row r="57" spans="2:33" ht="15" customHeight="1" x14ac:dyDescent="0.15">
      <c r="B57" s="174" t="s">
        <v>5</v>
      </c>
      <c r="C57" s="175" t="s">
        <v>13</v>
      </c>
      <c r="D57" s="176" t="str">
        <f t="shared" si="19"/>
        <v>C</v>
      </c>
      <c r="E57" s="177" t="d">
        <v>2021-09-17T17:45:00.00000020954757600</v>
      </c>
      <c r="F57" s="178" t="s">
        <v>81</v>
      </c>
      <c r="G57" s="179">
        <v>15357.6</v>
      </c>
      <c r="H57" s="179">
        <v>15405.55</v>
      </c>
      <c r="I57" s="180">
        <f t="shared" si="20"/>
        <v>47.949999999998909</v>
      </c>
      <c r="J57" s="179">
        <v>15069.9</v>
      </c>
      <c r="K57" s="177" t="d">
        <v>2021-09-20T08:23:59.99999987427145575</v>
      </c>
      <c r="L57" s="179">
        <v>15267.35</v>
      </c>
      <c r="M57" s="181">
        <f t="shared" si="21"/>
        <v>90.25</v>
      </c>
      <c r="N57" s="182">
        <f t="shared" si="22"/>
        <v>1.88</v>
      </c>
      <c r="O57" s="183">
        <f t="shared" si="23"/>
        <v>0</v>
      </c>
      <c r="P57" s="184">
        <f t="shared" si="24"/>
        <v>1.88</v>
      </c>
      <c r="Q57" s="184">
        <f t="shared" si="25"/>
        <v>0</v>
      </c>
      <c r="R5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32660</v>
      </c>
      <c r="T5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57" s="186">
        <f ca="1">IF(Tabla336106734811[[#This Row],[Equity]]&lt;Tabla336106734811[[#This Row],[Equity Peak]],(Tabla336106734811[[#This Row],[Equity Peak]]-Tabla336106734811[[#This Row],[Equity]])/Tabla336106734811[[#This Row],[Equity Peak]],"")</f>
        <v>2.0542810016494228E-2</v>
      </c>
      <c r="V57" s="187">
        <f t="shared" si="26"/>
        <v>0</v>
      </c>
      <c r="W57" s="187">
        <f t="shared" si="27"/>
        <v>0</v>
      </c>
      <c r="X57" s="187">
        <f t="shared" si="28"/>
        <v>0</v>
      </c>
      <c r="Y57" s="187">
        <f t="shared" si="29"/>
        <v>0</v>
      </c>
      <c r="Z57" s="187">
        <f t="shared" si="30"/>
        <v>1.88</v>
      </c>
      <c r="AA57" s="183">
        <f t="shared" si="31"/>
        <v>0</v>
      </c>
      <c r="AB57" s="187">
        <f t="shared" si="32"/>
        <v>0</v>
      </c>
      <c r="AC57" s="183">
        <f t="shared" si="33"/>
        <v>0</v>
      </c>
      <c r="AD57" s="188">
        <f t="shared" si="34"/>
        <v>2.6104166666627862</v>
      </c>
      <c r="AE57" s="188">
        <f t="shared" si="35"/>
        <v>2.6104166666627862</v>
      </c>
      <c r="AF57" s="188">
        <f t="shared" si="36"/>
        <v>0</v>
      </c>
      <c r="AG57" s="188">
        <f t="shared" si="37"/>
        <v>0</v>
      </c>
    </row>
    <row r="58" spans="2:33" ht="15" customHeight="1" x14ac:dyDescent="0.15">
      <c r="B58" s="174" t="s">
        <v>5</v>
      </c>
      <c r="C58" s="175" t="s">
        <v>15</v>
      </c>
      <c r="D58" s="176" t="str">
        <f t="shared" si="19"/>
        <v>C</v>
      </c>
      <c r="E58" s="177" t="d">
        <v>2021-09-16T22:15:00.00000020954757600</v>
      </c>
      <c r="F58" s="178" t="s">
        <v>81</v>
      </c>
      <c r="G58" s="179">
        <v>15536.07</v>
      </c>
      <c r="H58" s="179">
        <v>15490.1</v>
      </c>
      <c r="I58" s="180">
        <f t="shared" si="20"/>
        <v>45.969999999999345</v>
      </c>
      <c r="J58" s="179">
        <v>15811.92</v>
      </c>
      <c r="K58" s="177" t="d">
        <v>2021-09-17T02:39:00.00000029336660775</v>
      </c>
      <c r="L58" s="179">
        <v>15490.1</v>
      </c>
      <c r="M58" s="181">
        <f t="shared" si="21"/>
        <v>-45.97</v>
      </c>
      <c r="N58" s="182">
        <f t="shared" si="22"/>
        <v>-1</v>
      </c>
      <c r="O58" s="183">
        <f t="shared" si="23"/>
        <v>0</v>
      </c>
      <c r="P58" s="184">
        <f t="shared" si="24"/>
        <v>0</v>
      </c>
      <c r="Q58" s="184">
        <f t="shared" si="25"/>
        <v>-1</v>
      </c>
      <c r="R5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32190</v>
      </c>
      <c r="T5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58" s="186">
        <f ca="1">IF(Tabla336106734811[[#This Row],[Equity]]&lt;Tabla336106734811[[#This Row],[Equity Peak]],(Tabla336106734811[[#This Row],[Equity Peak]]-Tabla336106734811[[#This Row],[Equity]])/Tabla336106734811[[#This Row],[Equity Peak]],"")</f>
        <v>3.4637876743139902E-2</v>
      </c>
      <c r="V58" s="187">
        <f t="shared" si="26"/>
        <v>0</v>
      </c>
      <c r="W58" s="187">
        <f t="shared" si="27"/>
        <v>0</v>
      </c>
      <c r="X58" s="187">
        <f t="shared" si="28"/>
        <v>0</v>
      </c>
      <c r="Y58" s="187">
        <f t="shared" si="29"/>
        <v>0</v>
      </c>
      <c r="Z58" s="187">
        <f t="shared" si="30"/>
        <v>-1</v>
      </c>
      <c r="AA58" s="183">
        <f t="shared" si="31"/>
        <v>0</v>
      </c>
      <c r="AB58" s="187">
        <f t="shared" si="32"/>
        <v>0</v>
      </c>
      <c r="AC58" s="183">
        <f t="shared" si="33"/>
        <v>0</v>
      </c>
      <c r="AD58" s="188">
        <f t="shared" si="34"/>
        <v>0.18333333333430346</v>
      </c>
      <c r="AE58" s="188">
        <f t="shared" si="35"/>
        <v>0</v>
      </c>
      <c r="AF58" s="188">
        <f t="shared" si="36"/>
        <v>0.18333333333430346</v>
      </c>
      <c r="AG58" s="188">
        <f t="shared" si="37"/>
        <v>0</v>
      </c>
    </row>
    <row r="59" spans="2:33" ht="15" customHeight="1" x14ac:dyDescent="0.15">
      <c r="B59" s="174" t="s">
        <v>5</v>
      </c>
      <c r="C59" s="175" t="s">
        <v>13</v>
      </c>
      <c r="D59" s="176" t="str">
        <f t="shared" si="19"/>
        <v>C</v>
      </c>
      <c r="E59" s="177" t="d">
        <v>2021-09-15T16:44:59.99999979045242400</v>
      </c>
      <c r="F59" s="178" t="s">
        <v>81</v>
      </c>
      <c r="G59" s="179">
        <v>15348.75</v>
      </c>
      <c r="H59" s="179">
        <v>15402.12</v>
      </c>
      <c r="I59" s="180">
        <f t="shared" si="20"/>
        <v>53.3700000000008</v>
      </c>
      <c r="J59" s="179">
        <v>15028.53</v>
      </c>
      <c r="K59" s="177" t="d">
        <v>2021-09-15T19:31:59.99999976251274675</v>
      </c>
      <c r="L59" s="179">
        <v>15402.12</v>
      </c>
      <c r="M59" s="181">
        <f t="shared" si="21"/>
        <v>-53.37</v>
      </c>
      <c r="N59" s="182">
        <f t="shared" si="22"/>
        <v>-1</v>
      </c>
      <c r="O59" s="183">
        <f t="shared" si="23"/>
        <v>0</v>
      </c>
      <c r="P59" s="184">
        <f t="shared" si="24"/>
        <v>0</v>
      </c>
      <c r="Q59" s="184">
        <f t="shared" si="25"/>
        <v>-1</v>
      </c>
      <c r="R5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5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32440</v>
      </c>
      <c r="T5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59" s="186">
        <f ca="1">IF(Tabla336106734811[[#This Row],[Equity]]&lt;Tabla336106734811[[#This Row],[Equity Peak]],(Tabla336106734811[[#This Row],[Equity Peak]]-Tabla336106734811[[#This Row],[Equity]])/Tabla336106734811[[#This Row],[Equity Peak]],"")</f>
        <v>2.7140500824711353E-2</v>
      </c>
      <c r="V59" s="187">
        <f t="shared" si="26"/>
        <v>0</v>
      </c>
      <c r="W59" s="187">
        <f t="shared" si="27"/>
        <v>0</v>
      </c>
      <c r="X59" s="187">
        <f t="shared" si="28"/>
        <v>0</v>
      </c>
      <c r="Y59" s="187">
        <f t="shared" si="29"/>
        <v>0</v>
      </c>
      <c r="Z59" s="187">
        <f t="shared" si="30"/>
        <v>-1</v>
      </c>
      <c r="AA59" s="183">
        <f t="shared" si="31"/>
        <v>0</v>
      </c>
      <c r="AB59" s="187">
        <f t="shared" si="32"/>
        <v>0</v>
      </c>
      <c r="AC59" s="183">
        <f t="shared" si="33"/>
        <v>0</v>
      </c>
      <c r="AD59" s="188">
        <f t="shared" si="34"/>
        <v>0.11597222222189885</v>
      </c>
      <c r="AE59" s="188">
        <f t="shared" si="35"/>
        <v>0</v>
      </c>
      <c r="AF59" s="188">
        <f t="shared" si="36"/>
        <v>0.11597222222189885</v>
      </c>
      <c r="AG59" s="188">
        <f t="shared" si="37"/>
        <v>0</v>
      </c>
    </row>
    <row r="60" spans="2:33" ht="15" customHeight="1" x14ac:dyDescent="0.15">
      <c r="B60" s="174" t="s">
        <v>5</v>
      </c>
      <c r="C60" s="175" t="s">
        <v>13</v>
      </c>
      <c r="D60" s="176" t="str">
        <f t="shared" si="19"/>
        <v>C</v>
      </c>
      <c r="E60" s="177" t="d">
        <v>2021-09-13T17:15:00.000</v>
      </c>
      <c r="F60" s="178" t="s">
        <v>81</v>
      </c>
      <c r="G60" s="179">
        <v>15385.09</v>
      </c>
      <c r="H60" s="179">
        <v>15430.43</v>
      </c>
      <c r="I60" s="180">
        <f t="shared" si="20"/>
        <v>45.340000000000146</v>
      </c>
      <c r="J60" s="179">
        <v>15113.07</v>
      </c>
      <c r="K60" s="177" t="d">
        <v>2021-09-13T17:51:00.00000012572854425</v>
      </c>
      <c r="L60" s="179">
        <v>15430.43</v>
      </c>
      <c r="M60" s="181">
        <f t="shared" si="21"/>
        <v>-45.34</v>
      </c>
      <c r="N60" s="182">
        <f t="shared" si="22"/>
        <v>-1</v>
      </c>
      <c r="O60" s="183">
        <f t="shared" si="23"/>
        <v>0</v>
      </c>
      <c r="P60" s="184">
        <f t="shared" si="24"/>
        <v>0</v>
      </c>
      <c r="Q60" s="184">
        <f t="shared" si="25"/>
        <v>-1</v>
      </c>
      <c r="R6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32690</v>
      </c>
      <c r="T6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60" s="186">
        <f ca="1">IF(Tabla336106734811[[#This Row],[Equity]]&lt;Tabla336106734811[[#This Row],[Equity Peak]],(Tabla336106734811[[#This Row],[Equity Peak]]-Tabla336106734811[[#This Row],[Equity]])/Tabla336106734811[[#This Row],[Equity Peak]],"")</f>
        <v>1.96431249062828E-2</v>
      </c>
      <c r="V60" s="187">
        <f t="shared" si="26"/>
        <v>0</v>
      </c>
      <c r="W60" s="187">
        <f t="shared" si="27"/>
        <v>0</v>
      </c>
      <c r="X60" s="187">
        <f t="shared" si="28"/>
        <v>0</v>
      </c>
      <c r="Y60" s="187">
        <f t="shared" si="29"/>
        <v>0</v>
      </c>
      <c r="Z60" s="187">
        <f t="shared" si="30"/>
        <v>-1</v>
      </c>
      <c r="AA60" s="183">
        <f t="shared" si="31"/>
        <v>0</v>
      </c>
      <c r="AB60" s="187">
        <f t="shared" si="32"/>
        <v>0</v>
      </c>
      <c r="AC60" s="183">
        <f t="shared" si="33"/>
        <v>0</v>
      </c>
      <c r="AD60" s="188">
        <f t="shared" si="34"/>
        <v>2.5000000001455192E-2</v>
      </c>
      <c r="AE60" s="188">
        <f t="shared" si="35"/>
        <v>0</v>
      </c>
      <c r="AF60" s="188">
        <f t="shared" si="36"/>
        <v>2.5000000001455192E-2</v>
      </c>
      <c r="AG60" s="188">
        <f t="shared" si="37"/>
        <v>0</v>
      </c>
    </row>
    <row r="61" spans="2:33" ht="15" customHeight="1" x14ac:dyDescent="0.15">
      <c r="B61" s="174" t="s">
        <v>5</v>
      </c>
      <c r="C61" s="175" t="s">
        <v>13</v>
      </c>
      <c r="D61" s="176" t="str">
        <f t="shared" si="19"/>
        <v>C</v>
      </c>
      <c r="E61" s="177" t="d">
        <v>2021-09-13T08:15:00.000</v>
      </c>
      <c r="F61" s="178" t="s">
        <v>81</v>
      </c>
      <c r="G61" s="179">
        <v>15426.77</v>
      </c>
      <c r="H61" s="179">
        <v>15470.09</v>
      </c>
      <c r="I61" s="180">
        <f t="shared" si="20"/>
        <v>43.319999999999709</v>
      </c>
      <c r="J61" s="179">
        <v>15166.85</v>
      </c>
      <c r="K61" s="177" t="d">
        <v>2021-09-13T09:08:59.99999987427145575</v>
      </c>
      <c r="L61" s="179">
        <v>15470.09</v>
      </c>
      <c r="M61" s="181">
        <f t="shared" si="21"/>
        <v>-43.32</v>
      </c>
      <c r="N61" s="182">
        <f t="shared" si="22"/>
        <v>-1</v>
      </c>
      <c r="O61" s="183">
        <f t="shared" si="23"/>
        <v>0</v>
      </c>
      <c r="P61" s="184">
        <f t="shared" si="24"/>
        <v>0</v>
      </c>
      <c r="Q61" s="184">
        <f t="shared" si="25"/>
        <v>-1</v>
      </c>
      <c r="R6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32940</v>
      </c>
      <c r="T6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61" s="186">
        <f ca="1">IF(Tabla336106734811[[#This Row],[Equity]]&lt;Tabla336106734811[[#This Row],[Equity Peak]],(Tabla336106734811[[#This Row],[Equity Peak]]-Tabla336106734811[[#This Row],[Equity]])/Tabla336106734811[[#This Row],[Equity Peak]],"")</f>
        <v>1.2145748987854251E-2</v>
      </c>
      <c r="V61" s="187">
        <f t="shared" si="26"/>
        <v>0</v>
      </c>
      <c r="W61" s="187">
        <f t="shared" si="27"/>
        <v>0</v>
      </c>
      <c r="X61" s="187">
        <f t="shared" si="28"/>
        <v>0</v>
      </c>
      <c r="Y61" s="187">
        <f t="shared" si="29"/>
        <v>0</v>
      </c>
      <c r="Z61" s="187">
        <f t="shared" si="30"/>
        <v>-1</v>
      </c>
      <c r="AA61" s="183">
        <f t="shared" si="31"/>
        <v>0</v>
      </c>
      <c r="AB61" s="187">
        <f t="shared" si="32"/>
        <v>0</v>
      </c>
      <c r="AC61" s="183">
        <f t="shared" si="33"/>
        <v>0</v>
      </c>
      <c r="AD61" s="188">
        <f t="shared" si="34"/>
        <v>3.7499999998544808E-2</v>
      </c>
      <c r="AE61" s="188">
        <f t="shared" si="35"/>
        <v>0</v>
      </c>
      <c r="AF61" s="188">
        <f t="shared" si="36"/>
        <v>3.7499999998544808E-2</v>
      </c>
      <c r="AG61" s="188">
        <f t="shared" si="37"/>
        <v>0</v>
      </c>
    </row>
    <row r="62" spans="2:33" ht="15" customHeight="1" x14ac:dyDescent="0.15">
      <c r="B62" s="174" t="s">
        <v>5</v>
      </c>
      <c r="C62" s="175" t="s">
        <v>15</v>
      </c>
      <c r="D62" s="176" t="str">
        <f t="shared" si="19"/>
        <v>C</v>
      </c>
      <c r="E62" s="177" t="d">
        <v>2021-09-06T09:00:00.000</v>
      </c>
      <c r="F62" s="178" t="s">
        <v>81</v>
      </c>
      <c r="G62" s="179">
        <v>15678.2</v>
      </c>
      <c r="H62" s="179">
        <v>15643.88</v>
      </c>
      <c r="I62" s="180">
        <f t="shared" si="20"/>
        <v>34.320000000001528</v>
      </c>
      <c r="J62" s="179">
        <v>15884.13</v>
      </c>
      <c r="K62" s="177" t="d">
        <v>2021-09-07T11:06:59.99999969266355025</v>
      </c>
      <c r="L62" s="179">
        <v>15656.9</v>
      </c>
      <c r="M62" s="181">
        <f t="shared" si="21"/>
        <v>-21.3</v>
      </c>
      <c r="N62" s="182">
        <f t="shared" si="22"/>
        <v>-0.62</v>
      </c>
      <c r="O62" s="183">
        <f t="shared" si="23"/>
        <v>0</v>
      </c>
      <c r="P62" s="184">
        <f t="shared" si="24"/>
        <v>0</v>
      </c>
      <c r="Q62" s="184">
        <f t="shared" si="25"/>
        <v>-0.62</v>
      </c>
      <c r="R6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33190</v>
      </c>
      <c r="T6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62" s="186">
        <f ca="1">IF(Tabla336106734811[[#This Row],[Equity]]&lt;Tabla336106734811[[#This Row],[Equity Peak]],(Tabla336106734811[[#This Row],[Equity Peak]]-Tabla336106734811[[#This Row],[Equity]])/Tabla336106734811[[#This Row],[Equity Peak]],"")</f>
        <v>4.6483730694257012E-3</v>
      </c>
      <c r="V62" s="187">
        <f t="shared" si="26"/>
        <v>0</v>
      </c>
      <c r="W62" s="187">
        <f t="shared" si="27"/>
        <v>0</v>
      </c>
      <c r="X62" s="187">
        <f t="shared" si="28"/>
        <v>0</v>
      </c>
      <c r="Y62" s="187">
        <f t="shared" si="29"/>
        <v>0</v>
      </c>
      <c r="Z62" s="187">
        <f t="shared" si="30"/>
        <v>-0.62</v>
      </c>
      <c r="AA62" s="183">
        <f t="shared" si="31"/>
        <v>0</v>
      </c>
      <c r="AB62" s="187">
        <f t="shared" si="32"/>
        <v>0</v>
      </c>
      <c r="AC62" s="183">
        <f t="shared" si="33"/>
        <v>0</v>
      </c>
      <c r="AD62" s="188">
        <f t="shared" si="34"/>
        <v>1.0881944444408873</v>
      </c>
      <c r="AE62" s="188">
        <f t="shared" si="35"/>
        <v>0</v>
      </c>
      <c r="AF62" s="188">
        <f t="shared" si="36"/>
        <v>1.0881944444408873</v>
      </c>
      <c r="AG62" s="188">
        <f t="shared" si="37"/>
        <v>0</v>
      </c>
    </row>
    <row r="63" spans="2:33" ht="15" customHeight="1" x14ac:dyDescent="0.15">
      <c r="B63" s="174" t="s">
        <v>5</v>
      </c>
      <c r="C63" s="175" t="s">
        <v>15</v>
      </c>
      <c r="D63" s="176" t="str">
        <f t="shared" si="19"/>
        <v>C</v>
      </c>
      <c r="E63" s="177" t="d">
        <v>2021-08-27T17:15:00.000</v>
      </c>
      <c r="F63" s="178" t="s">
        <v>81</v>
      </c>
      <c r="G63" s="179">
        <v>15399</v>
      </c>
      <c r="H63" s="179">
        <v>15360.45</v>
      </c>
      <c r="I63" s="180">
        <f t="shared" si="20"/>
        <v>38.549999999999272</v>
      </c>
      <c r="J63" s="179">
        <v>15630.3</v>
      </c>
      <c r="K63" s="177" t="d">
        <v>2021-08-31T07:50:59.99999970663339225</v>
      </c>
      <c r="L63" s="179">
        <v>15630.3</v>
      </c>
      <c r="M63" s="181">
        <f t="shared" si="21"/>
        <v>231.3</v>
      </c>
      <c r="N63" s="182">
        <f t="shared" si="22"/>
        <v>6</v>
      </c>
      <c r="O63" s="183">
        <f t="shared" si="23"/>
        <v>0</v>
      </c>
      <c r="P63" s="184">
        <f t="shared" si="24"/>
        <v>6</v>
      </c>
      <c r="Q63" s="184">
        <f t="shared" si="25"/>
        <v>0</v>
      </c>
      <c r="R6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33345</v>
      </c>
      <c r="T6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33345</v>
      </c>
      <c r="U63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63" s="187">
        <f t="shared" si="26"/>
        <v>0</v>
      </c>
      <c r="W63" s="187">
        <f t="shared" si="27"/>
        <v>0</v>
      </c>
      <c r="X63" s="187">
        <f t="shared" si="28"/>
        <v>0</v>
      </c>
      <c r="Y63" s="187">
        <f t="shared" si="29"/>
        <v>0</v>
      </c>
      <c r="Z63" s="187">
        <f t="shared" si="30"/>
        <v>6</v>
      </c>
      <c r="AA63" s="183">
        <f t="shared" si="31"/>
        <v>0</v>
      </c>
      <c r="AB63" s="187">
        <f t="shared" si="32"/>
        <v>0</v>
      </c>
      <c r="AC63" s="183">
        <f t="shared" si="33"/>
        <v>0</v>
      </c>
      <c r="AD63" s="188">
        <f t="shared" si="34"/>
        <v>3.6083333333299379</v>
      </c>
      <c r="AE63" s="188">
        <f t="shared" si="35"/>
        <v>3.6083333333299379</v>
      </c>
      <c r="AF63" s="188">
        <f t="shared" si="36"/>
        <v>0</v>
      </c>
      <c r="AG63" s="188">
        <f t="shared" si="37"/>
        <v>0</v>
      </c>
    </row>
    <row r="64" spans="2:33" ht="15" customHeight="1" x14ac:dyDescent="0.15">
      <c r="B64" s="174" t="s">
        <v>5</v>
      </c>
      <c r="C64" s="175" t="s">
        <v>15</v>
      </c>
      <c r="D64" s="176" t="str">
        <f t="shared" si="19"/>
        <v>C</v>
      </c>
      <c r="E64" s="177" t="d">
        <v>2021-08-20T17:00:00.00000020954757600</v>
      </c>
      <c r="F64" s="178" t="s">
        <v>81</v>
      </c>
      <c r="G64" s="179">
        <v>15043.76</v>
      </c>
      <c r="H64" s="179">
        <v>14976.62</v>
      </c>
      <c r="I64" s="180">
        <f t="shared" si="20"/>
        <v>67.139999999999418</v>
      </c>
      <c r="J64" s="179">
        <v>15446.59</v>
      </c>
      <c r="K64" s="177" t="d">
        <v>2021-08-24T14:23:59.99999987427145575</v>
      </c>
      <c r="L64" s="179">
        <v>15344.87</v>
      </c>
      <c r="M64" s="181">
        <f t="shared" si="21"/>
        <v>301.11</v>
      </c>
      <c r="N64" s="182">
        <f t="shared" si="22"/>
        <v>4.4800000000000004</v>
      </c>
      <c r="O64" s="183">
        <f t="shared" si="23"/>
        <v>0</v>
      </c>
      <c r="P64" s="184">
        <f t="shared" si="24"/>
        <v>4.4800000000000004</v>
      </c>
      <c r="Q64" s="184">
        <f t="shared" si="25"/>
        <v>0</v>
      </c>
      <c r="R6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31845</v>
      </c>
      <c r="T6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31845</v>
      </c>
      <c r="U64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64" s="187">
        <f t="shared" si="26"/>
        <v>0</v>
      </c>
      <c r="W64" s="187">
        <f t="shared" si="27"/>
        <v>0</v>
      </c>
      <c r="X64" s="187">
        <f t="shared" si="28"/>
        <v>0</v>
      </c>
      <c r="Y64" s="187">
        <f t="shared" si="29"/>
        <v>0</v>
      </c>
      <c r="Z64" s="187">
        <f t="shared" si="30"/>
        <v>4.4800000000000004</v>
      </c>
      <c r="AA64" s="183">
        <f t="shared" si="31"/>
        <v>0</v>
      </c>
      <c r="AB64" s="187">
        <f t="shared" si="32"/>
        <v>0</v>
      </c>
      <c r="AC64" s="183">
        <f t="shared" si="33"/>
        <v>0</v>
      </c>
      <c r="AD64" s="188">
        <f t="shared" si="34"/>
        <v>3.8916666666627862</v>
      </c>
      <c r="AE64" s="188">
        <f t="shared" si="35"/>
        <v>3.8916666666627862</v>
      </c>
      <c r="AF64" s="188">
        <f t="shared" si="36"/>
        <v>0</v>
      </c>
      <c r="AG64" s="188">
        <f t="shared" si="37"/>
        <v>0</v>
      </c>
    </row>
    <row r="65" spans="2:33" ht="15" customHeight="1" x14ac:dyDescent="0.15">
      <c r="B65" s="174" t="s">
        <v>5</v>
      </c>
      <c r="C65" s="175" t="s">
        <v>13</v>
      </c>
      <c r="D65" s="176" t="str">
        <f t="shared" si="19"/>
        <v>C</v>
      </c>
      <c r="E65" s="177" t="d">
        <v>2021-08-18T23:00:00.00000020954757600</v>
      </c>
      <c r="F65" s="178" t="s">
        <v>81</v>
      </c>
      <c r="G65" s="179">
        <v>14859.1</v>
      </c>
      <c r="H65" s="179">
        <v>14911.87</v>
      </c>
      <c r="I65" s="180">
        <f t="shared" si="20"/>
        <v>52.770000000000437</v>
      </c>
      <c r="J65" s="179">
        <v>14542.48</v>
      </c>
      <c r="K65" s="177" t="d">
        <v>2021-08-19T12:50:59.99999991618096825</v>
      </c>
      <c r="L65" s="179">
        <v>14778.2</v>
      </c>
      <c r="M65" s="181">
        <f t="shared" si="21"/>
        <v>80.900000000000006</v>
      </c>
      <c r="N65" s="182">
        <f t="shared" si="22"/>
        <v>1.53</v>
      </c>
      <c r="O65" s="183">
        <f t="shared" si="23"/>
        <v>0</v>
      </c>
      <c r="P65" s="184">
        <f t="shared" si="24"/>
        <v>1.53</v>
      </c>
      <c r="Q65" s="184">
        <f t="shared" si="25"/>
        <v>0</v>
      </c>
      <c r="R6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30725</v>
      </c>
      <c r="T6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31227.5</v>
      </c>
      <c r="U65" s="186">
        <f ca="1">IF(Tabla336106734811[[#This Row],[Equity]]&lt;Tabla336106734811[[#This Row],[Equity Peak]],(Tabla336106734811[[#This Row],[Equity Peak]]-Tabla336106734811[[#This Row],[Equity]])/Tabla336106734811[[#This Row],[Equity Peak]],"")</f>
        <v>1.6091585941878154E-2</v>
      </c>
      <c r="V65" s="187">
        <f t="shared" si="26"/>
        <v>0</v>
      </c>
      <c r="W65" s="187">
        <f t="shared" si="27"/>
        <v>0</v>
      </c>
      <c r="X65" s="187">
        <f t="shared" si="28"/>
        <v>0</v>
      </c>
      <c r="Y65" s="187">
        <f t="shared" si="29"/>
        <v>0</v>
      </c>
      <c r="Z65" s="187">
        <f t="shared" si="30"/>
        <v>1.53</v>
      </c>
      <c r="AA65" s="183">
        <f t="shared" si="31"/>
        <v>0</v>
      </c>
      <c r="AB65" s="187">
        <f t="shared" si="32"/>
        <v>0</v>
      </c>
      <c r="AC65" s="183">
        <f t="shared" si="33"/>
        <v>0</v>
      </c>
      <c r="AD65" s="188">
        <f t="shared" si="34"/>
        <v>0.57708333332993789</v>
      </c>
      <c r="AE65" s="188">
        <f t="shared" si="35"/>
        <v>0.57708333332993789</v>
      </c>
      <c r="AF65" s="188">
        <f t="shared" si="36"/>
        <v>0</v>
      </c>
      <c r="AG65" s="188">
        <f t="shared" si="37"/>
        <v>0</v>
      </c>
    </row>
    <row r="66" spans="2:33" ht="15" customHeight="1" x14ac:dyDescent="0.15">
      <c r="B66" s="174" t="s">
        <v>5</v>
      </c>
      <c r="C66" s="175" t="s">
        <v>13</v>
      </c>
      <c r="D66" s="176" t="str">
        <f t="shared" si="19"/>
        <v>C</v>
      </c>
      <c r="E66" s="177" t="d">
        <v>2021-08-17T20:00:00.00000020954757600</v>
      </c>
      <c r="F66" s="178" t="s">
        <v>81</v>
      </c>
      <c r="G66" s="179">
        <v>14908.04</v>
      </c>
      <c r="H66" s="179">
        <v>14952.15</v>
      </c>
      <c r="I66" s="180">
        <f t="shared" si="20"/>
        <v>44.109999999998763</v>
      </c>
      <c r="J66" s="179">
        <v>14643.38</v>
      </c>
      <c r="K66" s="177" t="d">
        <v>2021-08-17T20:23:59.99999987427145575</v>
      </c>
      <c r="L66" s="179">
        <v>14952.15</v>
      </c>
      <c r="M66" s="181">
        <f t="shared" si="21"/>
        <v>-44.11</v>
      </c>
      <c r="N66" s="182">
        <f t="shared" si="22"/>
        <v>-1</v>
      </c>
      <c r="O66" s="183">
        <f t="shared" si="23"/>
        <v>0</v>
      </c>
      <c r="P66" s="184">
        <f t="shared" si="24"/>
        <v>0</v>
      </c>
      <c r="Q66" s="184">
        <f t="shared" si="25"/>
        <v>-1</v>
      </c>
      <c r="R6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30342.5</v>
      </c>
      <c r="T6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31227.5</v>
      </c>
      <c r="U66" s="186">
        <f ca="1">IF(Tabla336106734811[[#This Row],[Equity]]&lt;Tabla336106734811[[#This Row],[Equity Peak]],(Tabla336106734811[[#This Row],[Equity Peak]]-Tabla336106734811[[#This Row],[Equity]])/Tabla336106734811[[#This Row],[Equity Peak]],"")</f>
        <v>2.8340405091666E-2</v>
      </c>
      <c r="V66" s="187">
        <f t="shared" si="26"/>
        <v>0</v>
      </c>
      <c r="W66" s="187">
        <f t="shared" si="27"/>
        <v>0</v>
      </c>
      <c r="X66" s="187">
        <f t="shared" si="28"/>
        <v>0</v>
      </c>
      <c r="Y66" s="187">
        <f t="shared" si="29"/>
        <v>0</v>
      </c>
      <c r="Z66" s="187">
        <f t="shared" si="30"/>
        <v>-1</v>
      </c>
      <c r="AA66" s="183">
        <f t="shared" si="31"/>
        <v>0</v>
      </c>
      <c r="AB66" s="187">
        <f t="shared" si="32"/>
        <v>0</v>
      </c>
      <c r="AC66" s="183">
        <f t="shared" si="33"/>
        <v>0</v>
      </c>
      <c r="AD66" s="188">
        <f t="shared" si="34"/>
        <v>1.6666666662786156E-2</v>
      </c>
      <c r="AE66" s="188">
        <f t="shared" si="35"/>
        <v>0</v>
      </c>
      <c r="AF66" s="188">
        <f t="shared" si="36"/>
        <v>1.6666666662786156E-2</v>
      </c>
      <c r="AG66" s="188">
        <f t="shared" si="37"/>
        <v>0</v>
      </c>
    </row>
    <row r="67" spans="2:33" ht="15" customHeight="1" x14ac:dyDescent="0.15">
      <c r="B67" s="174" t="s">
        <v>5</v>
      </c>
      <c r="C67" s="175" t="s">
        <v>13</v>
      </c>
      <c r="D67" s="176" t="str">
        <f t="shared" si="19"/>
        <v>C</v>
      </c>
      <c r="E67" s="177" t="d">
        <v>2021-08-16T17:29:59.99999979045242400</v>
      </c>
      <c r="F67" s="178" t="s">
        <v>81</v>
      </c>
      <c r="G67" s="179">
        <v>14954.52</v>
      </c>
      <c r="H67" s="179">
        <v>14987.47</v>
      </c>
      <c r="I67" s="180">
        <f t="shared" si="20"/>
        <v>32.949999999998909</v>
      </c>
      <c r="J67" s="179">
        <v>14756.83</v>
      </c>
      <c r="K67" s="177" t="d">
        <v>2021-08-16T18:36:00.00000012572854425</v>
      </c>
      <c r="L67" s="179">
        <v>14987.47</v>
      </c>
      <c r="M67" s="181">
        <f t="shared" si="21"/>
        <v>-32.950000000000003</v>
      </c>
      <c r="N67" s="182">
        <f t="shared" si="22"/>
        <v>-1</v>
      </c>
      <c r="O67" s="183">
        <f t="shared" si="23"/>
        <v>0</v>
      </c>
      <c r="P67" s="184">
        <f t="shared" si="24"/>
        <v>0</v>
      </c>
      <c r="Q67" s="184">
        <f t="shared" si="25"/>
        <v>-1</v>
      </c>
      <c r="R6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30592.5</v>
      </c>
      <c r="T6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31227.5</v>
      </c>
      <c r="U67" s="186">
        <f ca="1">IF(Tabla336106734811[[#This Row],[Equity]]&lt;Tabla336106734811[[#This Row],[Equity Peak]],(Tabla336106734811[[#This Row],[Equity Peak]]-Tabla336106734811[[#This Row],[Equity]])/Tabla336106734811[[#This Row],[Equity Peak]],"")</f>
        <v>2.0334640941477865E-2</v>
      </c>
      <c r="V67" s="187">
        <f t="shared" si="26"/>
        <v>0</v>
      </c>
      <c r="W67" s="187">
        <f t="shared" si="27"/>
        <v>0</v>
      </c>
      <c r="X67" s="187">
        <f t="shared" si="28"/>
        <v>0</v>
      </c>
      <c r="Y67" s="187">
        <f t="shared" si="29"/>
        <v>0</v>
      </c>
      <c r="Z67" s="187">
        <f t="shared" si="30"/>
        <v>-1</v>
      </c>
      <c r="AA67" s="183">
        <f t="shared" si="31"/>
        <v>0</v>
      </c>
      <c r="AB67" s="187">
        <f t="shared" si="32"/>
        <v>0</v>
      </c>
      <c r="AC67" s="183">
        <f t="shared" si="33"/>
        <v>0</v>
      </c>
      <c r="AD67" s="188">
        <f t="shared" si="34"/>
        <v>4.5833333337213844E-2</v>
      </c>
      <c r="AE67" s="188">
        <f t="shared" si="35"/>
        <v>0</v>
      </c>
      <c r="AF67" s="188">
        <f t="shared" si="36"/>
        <v>4.5833333337213844E-2</v>
      </c>
      <c r="AG67" s="188">
        <f t="shared" si="37"/>
        <v>0</v>
      </c>
    </row>
    <row r="68" spans="2:33" ht="15" customHeight="1" x14ac:dyDescent="0.15">
      <c r="B68" s="174" t="s">
        <v>5</v>
      </c>
      <c r="C68" s="175" t="s">
        <v>15</v>
      </c>
      <c r="D68" s="176" t="str">
        <f t="shared" si="19"/>
        <v>C</v>
      </c>
      <c r="E68" s="177" t="d">
        <v>2021-08-13T17:00:00.00000020954757600</v>
      </c>
      <c r="F68" s="178" t="s">
        <v>81</v>
      </c>
      <c r="G68" s="179">
        <v>15105.64</v>
      </c>
      <c r="H68" s="179">
        <v>15069.9</v>
      </c>
      <c r="I68" s="180">
        <f t="shared" si="20"/>
        <v>35.739999999999782</v>
      </c>
      <c r="J68" s="179">
        <v>15320.06</v>
      </c>
      <c r="K68" s="177" t="d">
        <v>2021-08-16T13:18:59.999999734573066125</v>
      </c>
      <c r="L68" s="179">
        <v>15087.81</v>
      </c>
      <c r="M68" s="181">
        <f t="shared" si="21"/>
        <v>-17.829999999999998</v>
      </c>
      <c r="N68" s="182">
        <f t="shared" si="22"/>
        <v>-0.5</v>
      </c>
      <c r="O68" s="183">
        <f t="shared" si="23"/>
        <v>0</v>
      </c>
      <c r="P68" s="184">
        <f t="shared" si="24"/>
        <v>0</v>
      </c>
      <c r="Q68" s="184">
        <f t="shared" si="25"/>
        <v>-0.5</v>
      </c>
      <c r="R6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30842.5</v>
      </c>
      <c r="T6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31227.5</v>
      </c>
      <c r="U68" s="186">
        <f ca="1">IF(Tabla336106734811[[#This Row],[Equity]]&lt;Tabla336106734811[[#This Row],[Equity Peak]],(Tabla336106734811[[#This Row],[Equity Peak]]-Tabla336106734811[[#This Row],[Equity]])/Tabla336106734811[[#This Row],[Equity Peak]],"")</f>
        <v>1.2328876791289729E-2</v>
      </c>
      <c r="V68" s="187">
        <f t="shared" si="26"/>
        <v>0</v>
      </c>
      <c r="W68" s="187">
        <f t="shared" si="27"/>
        <v>0</v>
      </c>
      <c r="X68" s="187">
        <f t="shared" si="28"/>
        <v>0</v>
      </c>
      <c r="Y68" s="187">
        <f t="shared" si="29"/>
        <v>0</v>
      </c>
      <c r="Z68" s="187">
        <f t="shared" si="30"/>
        <v>-0.5</v>
      </c>
      <c r="AA68" s="183">
        <f t="shared" si="31"/>
        <v>0</v>
      </c>
      <c r="AB68" s="187">
        <f t="shared" si="32"/>
        <v>0</v>
      </c>
      <c r="AC68" s="183">
        <f t="shared" si="33"/>
        <v>0</v>
      </c>
      <c r="AD68" s="188">
        <f t="shared" si="34"/>
        <v>2.8465277777722804</v>
      </c>
      <c r="AE68" s="188">
        <f t="shared" si="35"/>
        <v>0</v>
      </c>
      <c r="AF68" s="188">
        <f t="shared" si="36"/>
        <v>2.8465277777722804</v>
      </c>
      <c r="AG68" s="188">
        <f t="shared" si="37"/>
        <v>0</v>
      </c>
    </row>
    <row r="69" spans="2:33" ht="15" customHeight="1" x14ac:dyDescent="0.15">
      <c r="B69" s="174" t="s">
        <v>5</v>
      </c>
      <c r="C69" s="175" t="s">
        <v>15</v>
      </c>
      <c r="D69" s="176" t="str">
        <f t="shared" si="19"/>
        <v>C</v>
      </c>
      <c r="E69" s="177" t="d">
        <v>2021-08-13T11:00:00.00000020954757600</v>
      </c>
      <c r="F69" s="178" t="s">
        <v>81</v>
      </c>
      <c r="G69" s="179">
        <v>15098.46</v>
      </c>
      <c r="H69" s="179">
        <v>15062.03</v>
      </c>
      <c r="I69" s="180">
        <f t="shared" si="20"/>
        <v>36.429999999998472</v>
      </c>
      <c r="J69" s="179">
        <v>15317.04</v>
      </c>
      <c r="K69" s="177" t="d">
        <v>2021-08-13T15:01:00.00000019557774075</v>
      </c>
      <c r="L69" s="179">
        <v>15062.03</v>
      </c>
      <c r="M69" s="181">
        <f t="shared" si="21"/>
        <v>-36.43</v>
      </c>
      <c r="N69" s="182">
        <f t="shared" si="22"/>
        <v>-1</v>
      </c>
      <c r="O69" s="183">
        <f t="shared" si="23"/>
        <v>0</v>
      </c>
      <c r="P69" s="184">
        <f t="shared" si="24"/>
        <v>0</v>
      </c>
      <c r="Q69" s="184">
        <f t="shared" si="25"/>
        <v>-1</v>
      </c>
      <c r="R6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6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30967.5</v>
      </c>
      <c r="T6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31227.5</v>
      </c>
      <c r="U69" s="186">
        <f ca="1">IF(Tabla336106734811[[#This Row],[Equity]]&lt;Tabla336106734811[[#This Row],[Equity Peak]],(Tabla336106734811[[#This Row],[Equity Peak]]-Tabla336106734811[[#This Row],[Equity]])/Tabla336106734811[[#This Row],[Equity Peak]],"")</f>
        <v>8.3259947161956616E-3</v>
      </c>
      <c r="V69" s="187">
        <f t="shared" si="26"/>
        <v>0</v>
      </c>
      <c r="W69" s="187">
        <f t="shared" si="27"/>
        <v>0</v>
      </c>
      <c r="X69" s="187">
        <f t="shared" si="28"/>
        <v>0</v>
      </c>
      <c r="Y69" s="187">
        <f t="shared" si="29"/>
        <v>0</v>
      </c>
      <c r="Z69" s="187">
        <f t="shared" si="30"/>
        <v>-1</v>
      </c>
      <c r="AA69" s="183">
        <f t="shared" si="31"/>
        <v>0</v>
      </c>
      <c r="AB69" s="187">
        <f t="shared" si="32"/>
        <v>0</v>
      </c>
      <c r="AC69" s="183">
        <f t="shared" si="33"/>
        <v>0</v>
      </c>
      <c r="AD69" s="188">
        <f t="shared" si="34"/>
        <v>0.16736111111094942</v>
      </c>
      <c r="AE69" s="188">
        <f t="shared" si="35"/>
        <v>0</v>
      </c>
      <c r="AF69" s="188">
        <f t="shared" si="36"/>
        <v>0.16736111111094942</v>
      </c>
      <c r="AG69" s="188">
        <f t="shared" si="37"/>
        <v>0</v>
      </c>
    </row>
    <row r="70" spans="2:33" ht="15" customHeight="1" x14ac:dyDescent="0.15">
      <c r="B70" s="174" t="s">
        <v>5</v>
      </c>
      <c r="C70" s="175" t="s">
        <v>15</v>
      </c>
      <c r="D70" s="176" t="str">
        <f t="shared" si="19"/>
        <v>C</v>
      </c>
      <c r="E70" s="177" t="d">
        <v>2021-08-04T20:15:00.000</v>
      </c>
      <c r="F70" s="178" t="s">
        <v>81</v>
      </c>
      <c r="G70" s="179">
        <v>15100.04</v>
      </c>
      <c r="H70" s="179">
        <v>15052.98</v>
      </c>
      <c r="I70" s="180">
        <f t="shared" si="20"/>
        <v>47.06000000000131</v>
      </c>
      <c r="J70" s="179">
        <v>15382.41</v>
      </c>
      <c r="K70" s="177" t="d">
        <v>2021-08-06T15:33:59.999999734573066125</v>
      </c>
      <c r="L70" s="179">
        <v>15145.43</v>
      </c>
      <c r="M70" s="181">
        <f t="shared" si="21"/>
        <v>45.39</v>
      </c>
      <c r="N70" s="182">
        <f t="shared" si="22"/>
        <v>0.96</v>
      </c>
      <c r="O70" s="183">
        <f t="shared" si="23"/>
        <v>0</v>
      </c>
      <c r="P70" s="184">
        <f t="shared" si="24"/>
        <v>0.96</v>
      </c>
      <c r="Q70" s="184">
        <f t="shared" si="25"/>
        <v>0</v>
      </c>
      <c r="R7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31217.5</v>
      </c>
      <c r="T7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31227.5</v>
      </c>
      <c r="U70" s="186">
        <f ca="1">IF(Tabla336106734811[[#This Row],[Equity]]&lt;Tabla336106734811[[#This Row],[Equity Peak]],(Tabla336106734811[[#This Row],[Equity Peak]]-Tabla336106734811[[#This Row],[Equity]])/Tabla336106734811[[#This Row],[Equity Peak]],"")</f>
        <v>3.2023056600752542E-4</v>
      </c>
      <c r="V70" s="187">
        <f t="shared" si="26"/>
        <v>0</v>
      </c>
      <c r="W70" s="187">
        <f t="shared" si="27"/>
        <v>0</v>
      </c>
      <c r="X70" s="187">
        <f t="shared" si="28"/>
        <v>0</v>
      </c>
      <c r="Y70" s="187">
        <f t="shared" si="29"/>
        <v>0</v>
      </c>
      <c r="Z70" s="187">
        <f t="shared" si="30"/>
        <v>0.96</v>
      </c>
      <c r="AA70" s="183">
        <f t="shared" si="31"/>
        <v>0</v>
      </c>
      <c r="AB70" s="187">
        <f t="shared" si="32"/>
        <v>0</v>
      </c>
      <c r="AC70" s="183">
        <f t="shared" si="33"/>
        <v>0</v>
      </c>
      <c r="AD70" s="188">
        <f t="shared" si="34"/>
        <v>1.804861111108039</v>
      </c>
      <c r="AE70" s="188">
        <f t="shared" si="35"/>
        <v>1.804861111108039</v>
      </c>
      <c r="AF70" s="188">
        <f t="shared" si="36"/>
        <v>0</v>
      </c>
      <c r="AG70" s="188">
        <f t="shared" si="37"/>
        <v>0</v>
      </c>
    </row>
    <row r="71" spans="2:33" ht="15" customHeight="1" x14ac:dyDescent="0.15">
      <c r="B71" s="174" t="s">
        <v>5</v>
      </c>
      <c r="C71" s="175" t="s">
        <v>15</v>
      </c>
      <c r="D71" s="176" t="str">
        <f t="shared" si="19"/>
        <v>C</v>
      </c>
      <c r="E71" s="177" t="d">
        <v>2021-08-04T08:29:59.99999979045242400</v>
      </c>
      <c r="F71" s="178" t="s">
        <v>81</v>
      </c>
      <c r="G71" s="179">
        <v>15063.59</v>
      </c>
      <c r="H71" s="179">
        <v>15017.33</v>
      </c>
      <c r="I71" s="180">
        <f t="shared" si="20"/>
        <v>46.260000000000218</v>
      </c>
      <c r="J71" s="179">
        <v>15341.12</v>
      </c>
      <c r="K71" s="177" t="d">
        <v>2021-08-04T17:23:59.99999987427145575</v>
      </c>
      <c r="L71" s="179">
        <v>15017.33</v>
      </c>
      <c r="M71" s="181">
        <f t="shared" si="21"/>
        <v>-46.26</v>
      </c>
      <c r="N71" s="182">
        <f t="shared" si="22"/>
        <v>-1</v>
      </c>
      <c r="O71" s="183">
        <f t="shared" si="23"/>
        <v>0</v>
      </c>
      <c r="P71" s="184">
        <f t="shared" si="24"/>
        <v>0</v>
      </c>
      <c r="Q71" s="184">
        <f t="shared" si="25"/>
        <v>-1</v>
      </c>
      <c r="R7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30977.5</v>
      </c>
      <c r="T7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31227.5</v>
      </c>
      <c r="U71" s="186">
        <f ca="1">IF(Tabla336106734811[[#This Row],[Equity]]&lt;Tabla336106734811[[#This Row],[Equity Peak]],(Tabla336106734811[[#This Row],[Equity Peak]]-Tabla336106734811[[#This Row],[Equity]])/Tabla336106734811[[#This Row],[Equity Peak]],"")</f>
        <v>8.0057641501881348E-3</v>
      </c>
      <c r="V71" s="187">
        <f t="shared" si="26"/>
        <v>0</v>
      </c>
      <c r="W71" s="187">
        <f t="shared" si="27"/>
        <v>0</v>
      </c>
      <c r="X71" s="187">
        <f t="shared" si="28"/>
        <v>0</v>
      </c>
      <c r="Y71" s="187">
        <f t="shared" si="29"/>
        <v>0</v>
      </c>
      <c r="Z71" s="187">
        <f t="shared" si="30"/>
        <v>-1</v>
      </c>
      <c r="AA71" s="183">
        <f t="shared" si="31"/>
        <v>0</v>
      </c>
      <c r="AB71" s="187">
        <f t="shared" si="32"/>
        <v>0</v>
      </c>
      <c r="AC71" s="183">
        <f t="shared" si="33"/>
        <v>0</v>
      </c>
      <c r="AD71" s="188">
        <f t="shared" si="34"/>
        <v>0.37083333333430346</v>
      </c>
      <c r="AE71" s="188">
        <f t="shared" si="35"/>
        <v>0</v>
      </c>
      <c r="AF71" s="188">
        <f t="shared" si="36"/>
        <v>0.37083333333430346</v>
      </c>
      <c r="AG71" s="188">
        <f t="shared" si="37"/>
        <v>0</v>
      </c>
    </row>
    <row r="72" spans="2:33" ht="15" customHeight="1" x14ac:dyDescent="0.15">
      <c r="B72" s="174" t="s">
        <v>5</v>
      </c>
      <c r="C72" s="175" t="s">
        <v>15</v>
      </c>
      <c r="D72" s="176" t="str">
        <f t="shared" si="19"/>
        <v>C</v>
      </c>
      <c r="E72" s="177" t="d">
        <v>2021-07-21T22:15:00.00000020954757600</v>
      </c>
      <c r="F72" s="178" t="s">
        <v>81</v>
      </c>
      <c r="G72" s="179">
        <v>14805.34</v>
      </c>
      <c r="H72" s="179">
        <v>14748.5</v>
      </c>
      <c r="I72" s="180">
        <f t="shared" si="20"/>
        <v>56.840000000000146</v>
      </c>
      <c r="J72" s="179">
        <v>15146.37</v>
      </c>
      <c r="K72" s="177" t="d">
        <v>2021-07-22T19:09:00.00000029336660775</v>
      </c>
      <c r="L72" s="179">
        <v>14878.93</v>
      </c>
      <c r="M72" s="181">
        <f t="shared" si="21"/>
        <v>73.59</v>
      </c>
      <c r="N72" s="182">
        <f t="shared" si="22"/>
        <v>1.29</v>
      </c>
      <c r="O72" s="183">
        <f t="shared" si="23"/>
        <v>0</v>
      </c>
      <c r="P72" s="184">
        <f t="shared" si="24"/>
        <v>1.29</v>
      </c>
      <c r="Q72" s="184">
        <f t="shared" si="25"/>
        <v>0</v>
      </c>
      <c r="R7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31227.5</v>
      </c>
      <c r="T7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31227.5</v>
      </c>
      <c r="U72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72" s="187">
        <f t="shared" si="26"/>
        <v>0</v>
      </c>
      <c r="W72" s="187">
        <f t="shared" si="27"/>
        <v>0</v>
      </c>
      <c r="X72" s="187">
        <f t="shared" si="28"/>
        <v>0</v>
      </c>
      <c r="Y72" s="187">
        <f t="shared" si="29"/>
        <v>0</v>
      </c>
      <c r="Z72" s="187">
        <f t="shared" si="30"/>
        <v>1.29</v>
      </c>
      <c r="AA72" s="183">
        <f t="shared" si="31"/>
        <v>0</v>
      </c>
      <c r="AB72" s="187">
        <f t="shared" si="32"/>
        <v>0</v>
      </c>
      <c r="AC72" s="183">
        <f t="shared" si="33"/>
        <v>0</v>
      </c>
      <c r="AD72" s="188">
        <f t="shared" si="34"/>
        <v>0.87083333333430346</v>
      </c>
      <c r="AE72" s="188">
        <f t="shared" si="35"/>
        <v>0.87083333333430346</v>
      </c>
      <c r="AF72" s="188">
        <f t="shared" si="36"/>
        <v>0</v>
      </c>
      <c r="AG72" s="188">
        <f t="shared" si="37"/>
        <v>0</v>
      </c>
    </row>
    <row r="73" spans="2:33" ht="15" customHeight="1" x14ac:dyDescent="0.15">
      <c r="B73" s="174" t="s">
        <v>5</v>
      </c>
      <c r="C73" s="175" t="s">
        <v>15</v>
      </c>
      <c r="D73" s="176" t="str">
        <f t="shared" si="19"/>
        <v>C</v>
      </c>
      <c r="E73" s="177" t="d">
        <v>2021-07-20T18:45:00.000</v>
      </c>
      <c r="F73" s="178" t="s">
        <v>81</v>
      </c>
      <c r="G73" s="179">
        <v>14708.36</v>
      </c>
      <c r="H73" s="179">
        <v>14638.27</v>
      </c>
      <c r="I73" s="180">
        <f t="shared" si="20"/>
        <v>70.090000000000146</v>
      </c>
      <c r="J73" s="179">
        <v>15128.88</v>
      </c>
      <c r="K73" s="177" t="d">
        <v>2021-07-21T14:39:00.00000029336660775</v>
      </c>
      <c r="L73" s="179">
        <v>14684.89</v>
      </c>
      <c r="M73" s="181">
        <f t="shared" si="21"/>
        <v>-23.47</v>
      </c>
      <c r="N73" s="182">
        <f t="shared" si="22"/>
        <v>-0.33</v>
      </c>
      <c r="O73" s="183">
        <f t="shared" si="23"/>
        <v>0</v>
      </c>
      <c r="P73" s="184">
        <f t="shared" si="24"/>
        <v>0</v>
      </c>
      <c r="Q73" s="184">
        <f t="shared" si="25"/>
        <v>-0.33</v>
      </c>
      <c r="R7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30905</v>
      </c>
      <c r="T7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30987.5</v>
      </c>
      <c r="U73" s="186">
        <f ca="1">IF(Tabla336106734811[[#This Row],[Equity]]&lt;Tabla336106734811[[#This Row],[Equity Peak]],(Tabla336106734811[[#This Row],[Equity Peak]]-Tabla336106734811[[#This Row],[Equity]])/Tabla336106734811[[#This Row],[Equity Peak]],"")</f>
        <v>2.6623638563937073E-3</v>
      </c>
      <c r="V73" s="187">
        <f t="shared" si="26"/>
        <v>0</v>
      </c>
      <c r="W73" s="187">
        <f t="shared" si="27"/>
        <v>0</v>
      </c>
      <c r="X73" s="187">
        <f t="shared" si="28"/>
        <v>0</v>
      </c>
      <c r="Y73" s="187">
        <f t="shared" si="29"/>
        <v>0</v>
      </c>
      <c r="Z73" s="187">
        <f t="shared" si="30"/>
        <v>-0.33</v>
      </c>
      <c r="AA73" s="183">
        <f t="shared" si="31"/>
        <v>0</v>
      </c>
      <c r="AB73" s="187">
        <f t="shared" si="32"/>
        <v>0</v>
      </c>
      <c r="AC73" s="183">
        <f t="shared" si="33"/>
        <v>0</v>
      </c>
      <c r="AD73" s="188">
        <f t="shared" si="34"/>
        <v>0.82916666667006211</v>
      </c>
      <c r="AE73" s="188">
        <f t="shared" si="35"/>
        <v>0</v>
      </c>
      <c r="AF73" s="188">
        <f t="shared" si="36"/>
        <v>0.82916666667006211</v>
      </c>
      <c r="AG73" s="188">
        <f t="shared" si="37"/>
        <v>0</v>
      </c>
    </row>
    <row r="74" spans="2:33" ht="15" customHeight="1" x14ac:dyDescent="0.15">
      <c r="B74" s="174" t="s">
        <v>5</v>
      </c>
      <c r="C74" s="175" t="s">
        <v>13</v>
      </c>
      <c r="D74" s="176" t="str">
        <f t="shared" si="19"/>
        <v>C</v>
      </c>
      <c r="E74" s="177" t="d">
        <v>2021-07-19T14:15:00.000</v>
      </c>
      <c r="F74" s="178" t="s">
        <v>81</v>
      </c>
      <c r="G74" s="179">
        <v>14587.79</v>
      </c>
      <c r="H74" s="179">
        <v>14650.02</v>
      </c>
      <c r="I74" s="180">
        <f t="shared" si="20"/>
        <v>62.229999999999563</v>
      </c>
      <c r="J74" s="179">
        <v>14214.39</v>
      </c>
      <c r="K74" s="177" t="d">
        <v>2021-07-19T18:07:00.00000011175870900</v>
      </c>
      <c r="L74" s="179">
        <v>14547.27</v>
      </c>
      <c r="M74" s="181">
        <f t="shared" si="21"/>
        <v>40.520000000000003</v>
      </c>
      <c r="N74" s="182">
        <f t="shared" si="22"/>
        <v>0.65</v>
      </c>
      <c r="O74" s="183">
        <f t="shared" si="23"/>
        <v>0</v>
      </c>
      <c r="P74" s="184">
        <f t="shared" si="24"/>
        <v>0.65</v>
      </c>
      <c r="Q74" s="184">
        <f t="shared" si="25"/>
        <v>0</v>
      </c>
      <c r="R7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30987.5</v>
      </c>
      <c r="T7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30987.5</v>
      </c>
      <c r="U74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74" s="187">
        <f t="shared" si="26"/>
        <v>0</v>
      </c>
      <c r="W74" s="187">
        <f t="shared" si="27"/>
        <v>0</v>
      </c>
      <c r="X74" s="187">
        <f t="shared" si="28"/>
        <v>0</v>
      </c>
      <c r="Y74" s="187">
        <f t="shared" si="29"/>
        <v>0</v>
      </c>
      <c r="Z74" s="187">
        <f t="shared" si="30"/>
        <v>0.65</v>
      </c>
      <c r="AA74" s="183">
        <f t="shared" si="31"/>
        <v>0</v>
      </c>
      <c r="AB74" s="187">
        <f t="shared" si="32"/>
        <v>0</v>
      </c>
      <c r="AC74" s="183">
        <f t="shared" si="33"/>
        <v>0</v>
      </c>
      <c r="AD74" s="188">
        <f t="shared" si="34"/>
        <v>0.16111111111240461</v>
      </c>
      <c r="AE74" s="188">
        <f t="shared" si="35"/>
        <v>0.16111111111240461</v>
      </c>
      <c r="AF74" s="188">
        <f t="shared" si="36"/>
        <v>0</v>
      </c>
      <c r="AG74" s="188">
        <f t="shared" si="37"/>
        <v>0</v>
      </c>
    </row>
    <row r="75" spans="2:33" ht="15" customHeight="1" x14ac:dyDescent="0.15">
      <c r="B75" s="174" t="s">
        <v>5</v>
      </c>
      <c r="C75" s="175" t="s">
        <v>15</v>
      </c>
      <c r="D75" s="176" t="str">
        <f t="shared" si="19"/>
        <v>C</v>
      </c>
      <c r="E75" s="177" t="d">
        <v>2021-07-13T17:15:00.000</v>
      </c>
      <c r="F75" s="178" t="s">
        <v>81</v>
      </c>
      <c r="G75" s="179">
        <v>14939.92</v>
      </c>
      <c r="H75" s="179">
        <v>14899.48</v>
      </c>
      <c r="I75" s="180">
        <f t="shared" si="20"/>
        <v>40.440000000000509</v>
      </c>
      <c r="J75" s="179">
        <v>15182.57</v>
      </c>
      <c r="K75" s="177" t="d">
        <v>2021-07-13T20:19:00.00000015366822150</v>
      </c>
      <c r="L75" s="179">
        <v>14937.73</v>
      </c>
      <c r="M75" s="181">
        <f t="shared" si="21"/>
        <v>-2.19</v>
      </c>
      <c r="N75" s="182">
        <f t="shared" si="22"/>
        <v>-0.05</v>
      </c>
      <c r="O75" s="183">
        <f t="shared" si="23"/>
        <v>0</v>
      </c>
      <c r="P75" s="184">
        <f t="shared" si="24"/>
        <v>0</v>
      </c>
      <c r="Q75" s="184">
        <f t="shared" si="25"/>
        <v>-0.05</v>
      </c>
      <c r="R7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30825</v>
      </c>
      <c r="T7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30837.5</v>
      </c>
      <c r="U75" s="186">
        <f ca="1">IF(Tabla336106734811[[#This Row],[Equity]]&lt;Tabla336106734811[[#This Row],[Equity Peak]],(Tabla336106734811[[#This Row],[Equity Peak]]-Tabla336106734811[[#This Row],[Equity]])/Tabla336106734811[[#This Row],[Equity Peak]],"")</f>
        <v>4.0535062829347385E-4</v>
      </c>
      <c r="V75" s="187">
        <f t="shared" si="26"/>
        <v>0</v>
      </c>
      <c r="W75" s="187">
        <f t="shared" si="27"/>
        <v>0</v>
      </c>
      <c r="X75" s="187">
        <f t="shared" si="28"/>
        <v>0</v>
      </c>
      <c r="Y75" s="187">
        <f t="shared" si="29"/>
        <v>0</v>
      </c>
      <c r="Z75" s="187">
        <f t="shared" si="30"/>
        <v>-0.05</v>
      </c>
      <c r="AA75" s="183">
        <f t="shared" si="31"/>
        <v>0</v>
      </c>
      <c r="AB75" s="187">
        <f t="shared" si="32"/>
        <v>0</v>
      </c>
      <c r="AC75" s="183">
        <f t="shared" si="33"/>
        <v>0</v>
      </c>
      <c r="AD75" s="188">
        <f t="shared" si="34"/>
        <v>0.12777777777955635</v>
      </c>
      <c r="AE75" s="188">
        <f t="shared" si="35"/>
        <v>0</v>
      </c>
      <c r="AF75" s="188">
        <f t="shared" si="36"/>
        <v>0.12777777777955635</v>
      </c>
      <c r="AG75" s="188">
        <f t="shared" si="37"/>
        <v>0</v>
      </c>
    </row>
    <row r="76" spans="2:33" ht="15" customHeight="1" x14ac:dyDescent="0.15">
      <c r="B76" s="174" t="s">
        <v>5</v>
      </c>
      <c r="C76" s="175" t="s">
        <v>15</v>
      </c>
      <c r="D76" s="176" t="str">
        <f t="shared" si="19"/>
        <v>C</v>
      </c>
      <c r="E76" s="177" t="d">
        <v>2021-07-09T19:44:59.99999979045242400</v>
      </c>
      <c r="F76" s="178" t="s">
        <v>81</v>
      </c>
      <c r="G76" s="179">
        <v>14836.96</v>
      </c>
      <c r="H76" s="179">
        <v>14770.54</v>
      </c>
      <c r="I76" s="180">
        <f t="shared" si="20"/>
        <v>66.419999999998254</v>
      </c>
      <c r="J76" s="179">
        <v>15235.49</v>
      </c>
      <c r="K76" s="177" t="d">
        <v>2021-07-13T15:30:00.00000020954757600</v>
      </c>
      <c r="L76" s="179">
        <v>14893.79</v>
      </c>
      <c r="M76" s="181">
        <f t="shared" si="21"/>
        <v>56.83</v>
      </c>
      <c r="N76" s="182">
        <f t="shared" si="22"/>
        <v>0.86</v>
      </c>
      <c r="O76" s="183">
        <f t="shared" si="23"/>
        <v>0</v>
      </c>
      <c r="P76" s="184">
        <f t="shared" si="24"/>
        <v>0.86</v>
      </c>
      <c r="Q76" s="184">
        <f t="shared" si="25"/>
        <v>0</v>
      </c>
      <c r="R7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30837.5</v>
      </c>
      <c r="T7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30837.5</v>
      </c>
      <c r="U76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76" s="187">
        <f t="shared" si="26"/>
        <v>0</v>
      </c>
      <c r="W76" s="187">
        <f t="shared" si="27"/>
        <v>0</v>
      </c>
      <c r="X76" s="187">
        <f t="shared" si="28"/>
        <v>0</v>
      </c>
      <c r="Y76" s="187">
        <f t="shared" si="29"/>
        <v>0</v>
      </c>
      <c r="Z76" s="187">
        <f t="shared" si="30"/>
        <v>0.86</v>
      </c>
      <c r="AA76" s="183">
        <f t="shared" si="31"/>
        <v>0</v>
      </c>
      <c r="AB76" s="187">
        <f t="shared" si="32"/>
        <v>0</v>
      </c>
      <c r="AC76" s="183">
        <f t="shared" si="33"/>
        <v>0</v>
      </c>
      <c r="AD76" s="188">
        <f t="shared" si="34"/>
        <v>3.8229166666715173</v>
      </c>
      <c r="AE76" s="188">
        <f t="shared" si="35"/>
        <v>3.8229166666715173</v>
      </c>
      <c r="AF76" s="188">
        <f t="shared" si="36"/>
        <v>0</v>
      </c>
      <c r="AG76" s="188">
        <f t="shared" si="37"/>
        <v>0</v>
      </c>
    </row>
    <row r="77" spans="2:33" ht="15" customHeight="1" x14ac:dyDescent="0.15">
      <c r="B77" s="174" t="s">
        <v>5</v>
      </c>
      <c r="C77" s="175" t="s">
        <v>15</v>
      </c>
      <c r="D77" s="176" t="str">
        <f t="shared" si="19"/>
        <v>C</v>
      </c>
      <c r="E77" s="177" t="d">
        <v>2021-07-07T06:14:59.99999979045242400</v>
      </c>
      <c r="F77" s="178" t="s">
        <v>81</v>
      </c>
      <c r="G77" s="179">
        <v>14799.05</v>
      </c>
      <c r="H77" s="179">
        <v>14768.71</v>
      </c>
      <c r="I77" s="180">
        <f t="shared" si="20"/>
        <v>30.340000000000146</v>
      </c>
      <c r="J77" s="179">
        <v>14981.08</v>
      </c>
      <c r="K77" s="177" t="d">
        <v>2021-07-07T16:38:59.99999987427145575</v>
      </c>
      <c r="L77" s="179">
        <v>14844.44</v>
      </c>
      <c r="M77" s="181">
        <f t="shared" si="21"/>
        <v>45.39</v>
      </c>
      <c r="N77" s="182">
        <f t="shared" si="22"/>
        <v>1.5</v>
      </c>
      <c r="O77" s="183">
        <f t="shared" si="23"/>
        <v>0</v>
      </c>
      <c r="P77" s="184">
        <f t="shared" si="24"/>
        <v>1.5</v>
      </c>
      <c r="Q77" s="184">
        <f t="shared" si="25"/>
        <v>0</v>
      </c>
      <c r="R7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30622.5</v>
      </c>
      <c r="T7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30622.5</v>
      </c>
      <c r="U77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77" s="187">
        <f t="shared" si="26"/>
        <v>0</v>
      </c>
      <c r="W77" s="187">
        <f t="shared" si="27"/>
        <v>0</v>
      </c>
      <c r="X77" s="187">
        <f t="shared" si="28"/>
        <v>0</v>
      </c>
      <c r="Y77" s="187">
        <f t="shared" si="29"/>
        <v>0</v>
      </c>
      <c r="Z77" s="187">
        <f t="shared" si="30"/>
        <v>1.5</v>
      </c>
      <c r="AA77" s="183">
        <f t="shared" si="31"/>
        <v>0</v>
      </c>
      <c r="AB77" s="187">
        <f t="shared" si="32"/>
        <v>0</v>
      </c>
      <c r="AC77" s="183">
        <f t="shared" si="33"/>
        <v>0</v>
      </c>
      <c r="AD77" s="188">
        <f t="shared" si="34"/>
        <v>0.43333333333430346</v>
      </c>
      <c r="AE77" s="188">
        <f t="shared" si="35"/>
        <v>0.43333333333430346</v>
      </c>
      <c r="AF77" s="188">
        <f t="shared" si="36"/>
        <v>0</v>
      </c>
      <c r="AG77" s="188">
        <f t="shared" si="37"/>
        <v>0</v>
      </c>
    </row>
    <row r="78" spans="2:33" ht="15" customHeight="1" x14ac:dyDescent="0.15">
      <c r="B78" s="174" t="s">
        <v>5</v>
      </c>
      <c r="C78" s="175" t="s">
        <v>15</v>
      </c>
      <c r="D78" s="176" t="str">
        <f t="shared" si="19"/>
        <v>C</v>
      </c>
      <c r="E78" s="177" t="d">
        <v>2021-07-06T14:29:59.99999979045242400</v>
      </c>
      <c r="F78" s="178" t="s">
        <v>81</v>
      </c>
      <c r="G78" s="179">
        <v>14750.41</v>
      </c>
      <c r="H78" s="179">
        <v>14722.54</v>
      </c>
      <c r="I78" s="180">
        <f t="shared" si="20"/>
        <v>27.869999999998981</v>
      </c>
      <c r="J78" s="179">
        <v>14917.61</v>
      </c>
      <c r="K78" s="177" t="d">
        <v>2021-07-06T17:23:59.99999987427145575</v>
      </c>
      <c r="L78" s="179">
        <v>14764.6</v>
      </c>
      <c r="M78" s="181">
        <f t="shared" si="21"/>
        <v>14.19</v>
      </c>
      <c r="N78" s="182">
        <f t="shared" si="22"/>
        <v>0.51</v>
      </c>
      <c r="O78" s="183">
        <f t="shared" si="23"/>
        <v>0</v>
      </c>
      <c r="P78" s="184">
        <f t="shared" si="24"/>
        <v>0.51</v>
      </c>
      <c r="Q78" s="184">
        <f t="shared" si="25"/>
        <v>0</v>
      </c>
      <c r="R7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30247.5</v>
      </c>
      <c r="T7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30247.5</v>
      </c>
      <c r="U78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78" s="187">
        <f t="shared" si="26"/>
        <v>0</v>
      </c>
      <c r="W78" s="187">
        <f t="shared" si="27"/>
        <v>0</v>
      </c>
      <c r="X78" s="187">
        <f t="shared" si="28"/>
        <v>0</v>
      </c>
      <c r="Y78" s="187">
        <f t="shared" si="29"/>
        <v>0</v>
      </c>
      <c r="Z78" s="187">
        <f t="shared" si="30"/>
        <v>0.51</v>
      </c>
      <c r="AA78" s="183">
        <f t="shared" si="31"/>
        <v>0</v>
      </c>
      <c r="AB78" s="187">
        <f t="shared" si="32"/>
        <v>0</v>
      </c>
      <c r="AC78" s="183">
        <f t="shared" si="33"/>
        <v>0</v>
      </c>
      <c r="AD78" s="188">
        <f t="shared" si="34"/>
        <v>0.12083333333430346</v>
      </c>
      <c r="AE78" s="188">
        <f t="shared" si="35"/>
        <v>0.12083333333430346</v>
      </c>
      <c r="AF78" s="188">
        <f t="shared" si="36"/>
        <v>0</v>
      </c>
      <c r="AG78" s="188">
        <f t="shared" si="37"/>
        <v>0</v>
      </c>
    </row>
    <row r="79" spans="2:33" ht="15" customHeight="1" x14ac:dyDescent="0.15">
      <c r="B79" s="174" t="s">
        <v>5</v>
      </c>
      <c r="C79" s="175" t="s">
        <v>15</v>
      </c>
      <c r="D79" s="176" t="str">
        <f t="shared" si="19"/>
        <v>C</v>
      </c>
      <c r="E79" s="177" t="d">
        <v>2021-07-02T15:45:00.000</v>
      </c>
      <c r="F79" s="178" t="s">
        <v>81</v>
      </c>
      <c r="G79" s="179">
        <v>14638.68</v>
      </c>
      <c r="H79" s="179">
        <v>14600.24</v>
      </c>
      <c r="I79" s="180">
        <f t="shared" si="20"/>
        <v>38.440000000000509</v>
      </c>
      <c r="J79" s="179">
        <v>14869.33</v>
      </c>
      <c r="K79" s="177" t="d">
        <v>2021-07-05T10:09:00.00000029336660775</v>
      </c>
      <c r="L79" s="179">
        <v>14689.7</v>
      </c>
      <c r="M79" s="181">
        <f t="shared" si="21"/>
        <v>51.02</v>
      </c>
      <c r="N79" s="182">
        <f t="shared" si="22"/>
        <v>1.33</v>
      </c>
      <c r="O79" s="183">
        <f t="shared" si="23"/>
        <v>0</v>
      </c>
      <c r="P79" s="184">
        <f t="shared" si="24"/>
        <v>1.33</v>
      </c>
      <c r="Q79" s="184">
        <f t="shared" si="25"/>
        <v>0</v>
      </c>
      <c r="R7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7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30120</v>
      </c>
      <c r="T7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30120</v>
      </c>
      <c r="U79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79" s="187">
        <f t="shared" si="26"/>
        <v>0</v>
      </c>
      <c r="W79" s="187">
        <f t="shared" si="27"/>
        <v>0</v>
      </c>
      <c r="X79" s="187">
        <f t="shared" si="28"/>
        <v>0</v>
      </c>
      <c r="Y79" s="187">
        <f t="shared" si="29"/>
        <v>0</v>
      </c>
      <c r="Z79" s="187">
        <f t="shared" si="30"/>
        <v>1.33</v>
      </c>
      <c r="AA79" s="183">
        <f t="shared" si="31"/>
        <v>0</v>
      </c>
      <c r="AB79" s="187">
        <f t="shared" si="32"/>
        <v>0</v>
      </c>
      <c r="AC79" s="183">
        <f t="shared" si="33"/>
        <v>0</v>
      </c>
      <c r="AD79" s="188">
        <f t="shared" si="34"/>
        <v>2.7666666666700621</v>
      </c>
      <c r="AE79" s="188">
        <f t="shared" si="35"/>
        <v>2.7666666666700621</v>
      </c>
      <c r="AF79" s="188">
        <f t="shared" si="36"/>
        <v>0</v>
      </c>
      <c r="AG79" s="188">
        <f t="shared" si="37"/>
        <v>0</v>
      </c>
    </row>
    <row r="80" spans="2:33" ht="15" customHeight="1" x14ac:dyDescent="0.15">
      <c r="B80" s="174" t="s">
        <v>5</v>
      </c>
      <c r="C80" s="175" t="s">
        <v>15</v>
      </c>
      <c r="D80" s="176" t="str">
        <f t="shared" si="19"/>
        <v>C</v>
      </c>
      <c r="E80" s="177" t="d">
        <v>2021-06-28T16:15:00.00000020954757600</v>
      </c>
      <c r="F80" s="178" t="s">
        <v>81</v>
      </c>
      <c r="G80" s="179">
        <v>14404.67</v>
      </c>
      <c r="H80" s="179">
        <v>14368.03</v>
      </c>
      <c r="I80" s="180">
        <f t="shared" si="20"/>
        <v>36.639999999999418</v>
      </c>
      <c r="J80" s="179">
        <v>14624.49</v>
      </c>
      <c r="K80" s="177" t="d">
        <v>2021-06-29T04:38:00.00000030733644975</v>
      </c>
      <c r="L80" s="179">
        <v>14483.18</v>
      </c>
      <c r="M80" s="181">
        <f t="shared" si="21"/>
        <v>78.510000000000005</v>
      </c>
      <c r="N80" s="182">
        <f t="shared" si="22"/>
        <v>2.14</v>
      </c>
      <c r="O80" s="183">
        <f t="shared" si="23"/>
        <v>0</v>
      </c>
      <c r="P80" s="184">
        <f t="shared" si="24"/>
        <v>2.14</v>
      </c>
      <c r="Q80" s="184">
        <f t="shared" si="25"/>
        <v>0</v>
      </c>
      <c r="R8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29787.5</v>
      </c>
      <c r="T8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29787.5</v>
      </c>
      <c r="U80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80" s="187">
        <f t="shared" si="26"/>
        <v>0</v>
      </c>
      <c r="W80" s="187">
        <f t="shared" si="27"/>
        <v>0</v>
      </c>
      <c r="X80" s="187">
        <f t="shared" si="28"/>
        <v>0</v>
      </c>
      <c r="Y80" s="187">
        <f t="shared" si="29"/>
        <v>0</v>
      </c>
      <c r="Z80" s="187">
        <f t="shared" si="30"/>
        <v>2.14</v>
      </c>
      <c r="AA80" s="183">
        <f t="shared" si="31"/>
        <v>0</v>
      </c>
      <c r="AB80" s="187">
        <f t="shared" si="32"/>
        <v>0</v>
      </c>
      <c r="AC80" s="183">
        <f t="shared" si="33"/>
        <v>0</v>
      </c>
      <c r="AD80" s="188">
        <f t="shared" si="34"/>
        <v>0.51597222222335404</v>
      </c>
      <c r="AE80" s="188">
        <f t="shared" si="35"/>
        <v>0.51597222222335404</v>
      </c>
      <c r="AF80" s="188">
        <f t="shared" si="36"/>
        <v>0</v>
      </c>
      <c r="AG80" s="188">
        <f t="shared" si="37"/>
        <v>0</v>
      </c>
    </row>
    <row r="81" spans="2:33" ht="15" customHeight="1" x14ac:dyDescent="0.15">
      <c r="B81" s="174" t="s">
        <v>5</v>
      </c>
      <c r="C81" s="175" t="s">
        <v>15</v>
      </c>
      <c r="D81" s="176" t="str">
        <f t="shared" ref="D81:D112" si="38">IF(E81&lt;&gt;"",IF(K81&lt;&gt;"","C","O"),"")</f>
        <v>C</v>
      </c>
      <c r="E81" s="177" t="d">
        <v>2021-06-22T14:15:00.000</v>
      </c>
      <c r="F81" s="178" t="s">
        <v>81</v>
      </c>
      <c r="G81" s="179">
        <v>14171.38</v>
      </c>
      <c r="H81" s="179">
        <v>14109.09</v>
      </c>
      <c r="I81" s="180">
        <f t="shared" ref="I81:I112" si="39">ABS(G81-H81)</f>
        <v>62.289999999999054</v>
      </c>
      <c r="J81" s="179">
        <v>14545.14</v>
      </c>
      <c r="K81" s="177" t="d">
        <v>2021-06-23T12:01:00.00000019557774075</v>
      </c>
      <c r="L81" s="179">
        <v>14265.18</v>
      </c>
      <c r="M81" s="181">
        <f t="shared" ref="M81:M112" si="40">ROUND(IF(C81="L",(L81-G81),(G81-L81)),4)</f>
        <v>93.8</v>
      </c>
      <c r="N81" s="182">
        <f t="shared" ref="N81:N112" si="41">IFERROR(ROUND((M81/I81),2),"")</f>
        <v>1.51</v>
      </c>
      <c r="O81" s="183">
        <f t="shared" ref="O81:O112" si="42">IF(D81="O",IF(N81&lt;0,N81,0),0)</f>
        <v>0</v>
      </c>
      <c r="P81" s="184">
        <f t="shared" ref="P81:P112" si="43">IF(N81&gt;= 0,N81,0)</f>
        <v>1.51</v>
      </c>
      <c r="Q81" s="184">
        <f t="shared" ref="Q81:Q112" si="44">IF(N81&lt;0,N81,0)</f>
        <v>0</v>
      </c>
      <c r="R8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29252.5</v>
      </c>
      <c r="T8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29427.5</v>
      </c>
      <c r="U81" s="186">
        <f ca="1">IF(Tabla336106734811[[#This Row],[Equity]]&lt;Tabla336106734811[[#This Row],[Equity Peak]],(Tabla336106734811[[#This Row],[Equity Peak]]-Tabla336106734811[[#This Row],[Equity]])/Tabla336106734811[[#This Row],[Equity Peak]],"")</f>
        <v>5.9468184521281114E-3</v>
      </c>
      <c r="V81" s="187">
        <f t="shared" ref="V81:V112" si="45">IF(B81="FX",N81,0)</f>
        <v>0</v>
      </c>
      <c r="W81" s="187">
        <f t="shared" ref="W81:W112" si="46">IF(D81="O",IF(V81&lt;0,V81,0),0)</f>
        <v>0</v>
      </c>
      <c r="X81" s="187">
        <f t="shared" ref="X81:X112" si="47">IF(B81="COM",N81,0)</f>
        <v>0</v>
      </c>
      <c r="Y81" s="187">
        <f t="shared" ref="Y81:Y112" si="48">IF(D81="O",IF(X81&lt;0,X81,0),0)</f>
        <v>0</v>
      </c>
      <c r="Z81" s="187">
        <f t="shared" ref="Z81:Z112" si="49">IF(B81="IND",N81,0)</f>
        <v>1.51</v>
      </c>
      <c r="AA81" s="183">
        <f t="shared" ref="AA81:AA112" si="50">IF(D81="O",IF(Z81&lt;0,Z81,0),0)</f>
        <v>0</v>
      </c>
      <c r="AB81" s="187">
        <f t="shared" ref="AB81:AB112" si="51">IF(B81="CRYPTO",N81,0)</f>
        <v>0</v>
      </c>
      <c r="AC81" s="183">
        <f t="shared" ref="AC81:AC112" si="52">IF(D81="O",IF(AB81&lt;0,AB81,0),0)</f>
        <v>0</v>
      </c>
      <c r="AD81" s="188">
        <f t="shared" ref="AD81:AD112" si="53">IF(K81&lt;&gt;"",K81-E81,0)</f>
        <v>0.90694444444670808</v>
      </c>
      <c r="AE81" s="188">
        <f t="shared" ref="AE81:AE112" si="54">IF(N81&gt;0,AD81,0)</f>
        <v>0.90694444444670808</v>
      </c>
      <c r="AF81" s="188">
        <f t="shared" ref="AF81:AF112" si="55">IF(N81&lt;0,AD81,0)</f>
        <v>0</v>
      </c>
      <c r="AG81" s="188">
        <f t="shared" ref="AG81:AG112" si="56">IF(N81=0,AD81,0)</f>
        <v>0</v>
      </c>
    </row>
    <row r="82" spans="2:33" ht="15" customHeight="1" x14ac:dyDescent="0.15">
      <c r="B82" s="174" t="s">
        <v>5</v>
      </c>
      <c r="C82" s="175" t="s">
        <v>15</v>
      </c>
      <c r="D82" s="176" t="str">
        <f t="shared" si="38"/>
        <v>C</v>
      </c>
      <c r="E82" s="177" t="d">
        <v>2021-06-17T22:15:00.00000020954757600</v>
      </c>
      <c r="F82" s="178" t="s">
        <v>81</v>
      </c>
      <c r="G82" s="179">
        <v>14208.07</v>
      </c>
      <c r="H82" s="179">
        <v>14150.63</v>
      </c>
      <c r="I82" s="180">
        <f t="shared" si="39"/>
        <v>57.440000000000509</v>
      </c>
      <c r="J82" s="179">
        <v>14552.69</v>
      </c>
      <c r="K82" s="177" t="d">
        <v>2021-06-18T14:22:00.00000011175870900</v>
      </c>
      <c r="L82" s="179">
        <v>14150.63</v>
      </c>
      <c r="M82" s="181">
        <f t="shared" si="40"/>
        <v>-57.44</v>
      </c>
      <c r="N82" s="182">
        <f t="shared" si="41"/>
        <v>-1</v>
      </c>
      <c r="O82" s="183">
        <f t="shared" si="42"/>
        <v>0</v>
      </c>
      <c r="P82" s="184">
        <f t="shared" si="43"/>
        <v>0</v>
      </c>
      <c r="Q82" s="184">
        <f t="shared" si="44"/>
        <v>-1</v>
      </c>
      <c r="R8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28875</v>
      </c>
      <c r="T8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29427.5</v>
      </c>
      <c r="U82" s="186">
        <f ca="1">IF(Tabla336106734811[[#This Row],[Equity]]&lt;Tabla336106734811[[#This Row],[Equity Peak]],(Tabla336106734811[[#This Row],[Equity Peak]]-Tabla336106734811[[#This Row],[Equity]])/Tabla336106734811[[#This Row],[Equity Peak]],"")</f>
        <v>1.877495539886161E-2</v>
      </c>
      <c r="V82" s="187">
        <f t="shared" si="45"/>
        <v>0</v>
      </c>
      <c r="W82" s="187">
        <f t="shared" si="46"/>
        <v>0</v>
      </c>
      <c r="X82" s="187">
        <f t="shared" si="47"/>
        <v>0</v>
      </c>
      <c r="Y82" s="187">
        <f t="shared" si="48"/>
        <v>0</v>
      </c>
      <c r="Z82" s="187">
        <f t="shared" si="49"/>
        <v>-1</v>
      </c>
      <c r="AA82" s="183">
        <f t="shared" si="50"/>
        <v>0</v>
      </c>
      <c r="AB82" s="187">
        <f t="shared" si="51"/>
        <v>0</v>
      </c>
      <c r="AC82" s="183">
        <f t="shared" si="52"/>
        <v>0</v>
      </c>
      <c r="AD82" s="188">
        <f t="shared" si="53"/>
        <v>0.67152777777664596</v>
      </c>
      <c r="AE82" s="188">
        <f t="shared" si="54"/>
        <v>0</v>
      </c>
      <c r="AF82" s="188">
        <f t="shared" si="55"/>
        <v>0.67152777777664596</v>
      </c>
      <c r="AG82" s="188">
        <f t="shared" si="56"/>
        <v>0</v>
      </c>
    </row>
    <row r="83" spans="2:33" ht="15" customHeight="1" x14ac:dyDescent="0.15">
      <c r="B83" s="174" t="s">
        <v>5</v>
      </c>
      <c r="C83" s="175" t="s">
        <v>15</v>
      </c>
      <c r="D83" s="176" t="str">
        <f t="shared" si="38"/>
        <v>C</v>
      </c>
      <c r="E83" s="177" t="d">
        <v>2021-06-17T17:45:00.00000020954757600</v>
      </c>
      <c r="F83" s="178" t="s">
        <v>81</v>
      </c>
      <c r="G83" s="179">
        <v>14135.07</v>
      </c>
      <c r="H83" s="179">
        <v>14081.49</v>
      </c>
      <c r="I83" s="180">
        <f t="shared" si="39"/>
        <v>53.579999999999927</v>
      </c>
      <c r="J83" s="179">
        <v>14456.55</v>
      </c>
      <c r="K83" s="177" t="d">
        <v>2021-06-17T19:18:59.999999734573066125</v>
      </c>
      <c r="L83" s="179">
        <v>14116.58</v>
      </c>
      <c r="M83" s="181">
        <f t="shared" si="40"/>
        <v>-18.489999999999998</v>
      </c>
      <c r="N83" s="182">
        <f t="shared" si="41"/>
        <v>-0.35</v>
      </c>
      <c r="O83" s="183">
        <f t="shared" si="42"/>
        <v>0</v>
      </c>
      <c r="P83" s="184">
        <f t="shared" si="43"/>
        <v>0</v>
      </c>
      <c r="Q83" s="184">
        <f t="shared" si="44"/>
        <v>-0.35</v>
      </c>
      <c r="R8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29125</v>
      </c>
      <c r="T8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29427.5</v>
      </c>
      <c r="U83" s="186">
        <f ca="1">IF(Tabla336106734811[[#This Row],[Equity]]&lt;Tabla336106734811[[#This Row],[Equity Peak]],(Tabla336106734811[[#This Row],[Equity Peak]]-Tabla336106734811[[#This Row],[Equity]])/Tabla336106734811[[#This Row],[Equity Peak]],"")</f>
        <v>1.0279500467250022E-2</v>
      </c>
      <c r="V83" s="187">
        <f t="shared" si="45"/>
        <v>0</v>
      </c>
      <c r="W83" s="187">
        <f t="shared" si="46"/>
        <v>0</v>
      </c>
      <c r="X83" s="187">
        <f t="shared" si="47"/>
        <v>0</v>
      </c>
      <c r="Y83" s="187">
        <f t="shared" si="48"/>
        <v>0</v>
      </c>
      <c r="Z83" s="187">
        <f t="shared" si="49"/>
        <v>-0.35</v>
      </c>
      <c r="AA83" s="183">
        <f t="shared" si="50"/>
        <v>0</v>
      </c>
      <c r="AB83" s="187">
        <f t="shared" si="51"/>
        <v>0</v>
      </c>
      <c r="AC83" s="183">
        <f t="shared" si="52"/>
        <v>0</v>
      </c>
      <c r="AD83" s="188">
        <f t="shared" si="53"/>
        <v>6.5277777772280388E-2</v>
      </c>
      <c r="AE83" s="188">
        <f t="shared" si="54"/>
        <v>0</v>
      </c>
      <c r="AF83" s="188">
        <f t="shared" si="55"/>
        <v>6.5277777772280388E-2</v>
      </c>
      <c r="AG83" s="188">
        <f t="shared" si="56"/>
        <v>0</v>
      </c>
    </row>
    <row r="84" spans="2:33" ht="15" customHeight="1" x14ac:dyDescent="0.15">
      <c r="B84" s="174" t="s">
        <v>5</v>
      </c>
      <c r="C84" s="175" t="s">
        <v>15</v>
      </c>
      <c r="D84" s="176" t="str">
        <f t="shared" si="38"/>
        <v>C</v>
      </c>
      <c r="E84" s="177" t="d">
        <v>2021-06-14T19:15:00.00000020954757600</v>
      </c>
      <c r="F84" s="178" t="s">
        <v>81</v>
      </c>
      <c r="G84" s="179">
        <v>14061.22</v>
      </c>
      <c r="H84" s="179">
        <v>14024.94</v>
      </c>
      <c r="I84" s="180">
        <f t="shared" si="39"/>
        <v>36.279999999998836</v>
      </c>
      <c r="J84" s="179">
        <v>14278.89</v>
      </c>
      <c r="K84" s="177" t="d">
        <v>2021-06-15T15:39:00.00000008381903175</v>
      </c>
      <c r="L84" s="179">
        <v>14124.61</v>
      </c>
      <c r="M84" s="181">
        <f t="shared" si="40"/>
        <v>63.39</v>
      </c>
      <c r="N84" s="182">
        <f t="shared" si="41"/>
        <v>1.75</v>
      </c>
      <c r="O84" s="183">
        <f t="shared" si="42"/>
        <v>0</v>
      </c>
      <c r="P84" s="184">
        <f t="shared" si="43"/>
        <v>1.75</v>
      </c>
      <c r="Q84" s="184">
        <f t="shared" si="44"/>
        <v>0</v>
      </c>
      <c r="R8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29212.5</v>
      </c>
      <c r="T8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29427.5</v>
      </c>
      <c r="U84" s="186">
        <f ca="1">IF(Tabla336106734811[[#This Row],[Equity]]&lt;Tabla336106734811[[#This Row],[Equity Peak]],(Tabla336106734811[[#This Row],[Equity Peak]]-Tabla336106734811[[#This Row],[Equity]])/Tabla336106734811[[#This Row],[Equity Peak]],"")</f>
        <v>7.3060912411859651E-3</v>
      </c>
      <c r="V84" s="187">
        <f t="shared" si="45"/>
        <v>0</v>
      </c>
      <c r="W84" s="187">
        <f t="shared" si="46"/>
        <v>0</v>
      </c>
      <c r="X84" s="187">
        <f t="shared" si="47"/>
        <v>0</v>
      </c>
      <c r="Y84" s="187">
        <f t="shared" si="48"/>
        <v>0</v>
      </c>
      <c r="Z84" s="187">
        <f t="shared" si="49"/>
        <v>1.75</v>
      </c>
      <c r="AA84" s="183">
        <f t="shared" si="50"/>
        <v>0</v>
      </c>
      <c r="AB84" s="187">
        <f t="shared" si="51"/>
        <v>0</v>
      </c>
      <c r="AC84" s="183">
        <f t="shared" si="52"/>
        <v>0</v>
      </c>
      <c r="AD84" s="188">
        <f t="shared" si="53"/>
        <v>0.84999999999854481</v>
      </c>
      <c r="AE84" s="188">
        <f t="shared" si="54"/>
        <v>0.84999999999854481</v>
      </c>
      <c r="AF84" s="188">
        <f t="shared" si="55"/>
        <v>0</v>
      </c>
      <c r="AG84" s="188">
        <f t="shared" si="56"/>
        <v>0</v>
      </c>
    </row>
    <row r="85" spans="2:33" ht="15" customHeight="1" x14ac:dyDescent="0.15">
      <c r="B85" s="174" t="s">
        <v>5</v>
      </c>
      <c r="C85" s="175" t="s">
        <v>15</v>
      </c>
      <c r="D85" s="176" t="str">
        <f t="shared" si="38"/>
        <v>C</v>
      </c>
      <c r="E85" s="177" t="d">
        <v>2021-06-14T01:15:00.00000020954757600</v>
      </c>
      <c r="F85" s="178" t="s">
        <v>81</v>
      </c>
      <c r="G85" s="179">
        <v>14019.14</v>
      </c>
      <c r="H85" s="179">
        <v>13976.04</v>
      </c>
      <c r="I85" s="180">
        <f t="shared" si="39"/>
        <v>43.099999999998545</v>
      </c>
      <c r="J85" s="179">
        <v>14277.75</v>
      </c>
      <c r="K85" s="177" t="d">
        <v>2021-06-14T16:37:00.00000011175870900</v>
      </c>
      <c r="L85" s="179">
        <v>13984.27</v>
      </c>
      <c r="M85" s="181">
        <f t="shared" si="40"/>
        <v>-34.869999999999997</v>
      </c>
      <c r="N85" s="182">
        <f t="shared" si="41"/>
        <v>-0.81</v>
      </c>
      <c r="O85" s="183">
        <f t="shared" si="42"/>
        <v>0</v>
      </c>
      <c r="P85" s="184">
        <f t="shared" si="43"/>
        <v>0</v>
      </c>
      <c r="Q85" s="184">
        <f t="shared" si="44"/>
        <v>-0.81</v>
      </c>
      <c r="R8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28775</v>
      </c>
      <c r="T8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29427.5</v>
      </c>
      <c r="U85" s="186">
        <f ca="1">IF(Tabla336106734811[[#This Row],[Equity]]&lt;Tabla336106734811[[#This Row],[Equity Peak]],(Tabla336106734811[[#This Row],[Equity Peak]]-Tabla336106734811[[#This Row],[Equity]])/Tabla336106734811[[#This Row],[Equity Peak]],"")</f>
        <v>2.2173137371506245E-2</v>
      </c>
      <c r="V85" s="187">
        <f t="shared" si="45"/>
        <v>0</v>
      </c>
      <c r="W85" s="187">
        <f t="shared" si="46"/>
        <v>0</v>
      </c>
      <c r="X85" s="187">
        <f t="shared" si="47"/>
        <v>0</v>
      </c>
      <c r="Y85" s="187">
        <f t="shared" si="48"/>
        <v>0</v>
      </c>
      <c r="Z85" s="187">
        <f t="shared" si="49"/>
        <v>-0.81</v>
      </c>
      <c r="AA85" s="183">
        <f t="shared" si="50"/>
        <v>0</v>
      </c>
      <c r="AB85" s="187">
        <f t="shared" si="51"/>
        <v>0</v>
      </c>
      <c r="AC85" s="183">
        <f t="shared" si="52"/>
        <v>0</v>
      </c>
      <c r="AD85" s="188">
        <f t="shared" si="53"/>
        <v>0.64027777777664596</v>
      </c>
      <c r="AE85" s="188">
        <f t="shared" si="54"/>
        <v>0</v>
      </c>
      <c r="AF85" s="188">
        <f t="shared" si="55"/>
        <v>0.64027777777664596</v>
      </c>
      <c r="AG85" s="188">
        <f t="shared" si="56"/>
        <v>0</v>
      </c>
    </row>
    <row r="86" spans="2:33" ht="15" customHeight="1" x14ac:dyDescent="0.15">
      <c r="B86" s="174" t="s">
        <v>5</v>
      </c>
      <c r="C86" s="175" t="s">
        <v>15</v>
      </c>
      <c r="D86" s="176" t="str">
        <f t="shared" si="38"/>
        <v>C</v>
      </c>
      <c r="E86" s="177" t="d">
        <v>2021-06-10T16:44:59.99999979045242400</v>
      </c>
      <c r="F86" s="178" t="s">
        <v>81</v>
      </c>
      <c r="G86" s="179">
        <v>13920.94</v>
      </c>
      <c r="H86" s="179">
        <v>13874.18</v>
      </c>
      <c r="I86" s="180">
        <f t="shared" si="39"/>
        <v>46.760000000000218</v>
      </c>
      <c r="J86" s="179">
        <v>14201.48</v>
      </c>
      <c r="K86" s="177" t="d">
        <v>2021-06-10T17:51:00.00000012572854425</v>
      </c>
      <c r="L86" s="179">
        <v>13875.01</v>
      </c>
      <c r="M86" s="181">
        <f t="shared" si="40"/>
        <v>-45.93</v>
      </c>
      <c r="N86" s="182">
        <f t="shared" si="41"/>
        <v>-0.98</v>
      </c>
      <c r="O86" s="183">
        <f t="shared" si="42"/>
        <v>0</v>
      </c>
      <c r="P86" s="184">
        <f t="shared" si="43"/>
        <v>0</v>
      </c>
      <c r="Q86" s="184">
        <f t="shared" si="44"/>
        <v>-0.98</v>
      </c>
      <c r="R8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28977.5</v>
      </c>
      <c r="T8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29427.5</v>
      </c>
      <c r="U86" s="186">
        <f ca="1">IF(Tabla336106734811[[#This Row],[Equity]]&lt;Tabla336106734811[[#This Row],[Equity Peak]],(Tabla336106734811[[#This Row],[Equity Peak]]-Tabla336106734811[[#This Row],[Equity]])/Tabla336106734811[[#This Row],[Equity Peak]],"")</f>
        <v>1.5291818876900858E-2</v>
      </c>
      <c r="V86" s="187">
        <f t="shared" si="45"/>
        <v>0</v>
      </c>
      <c r="W86" s="187">
        <f t="shared" si="46"/>
        <v>0</v>
      </c>
      <c r="X86" s="187">
        <f t="shared" si="47"/>
        <v>0</v>
      </c>
      <c r="Y86" s="187">
        <f t="shared" si="48"/>
        <v>0</v>
      </c>
      <c r="Z86" s="187">
        <f t="shared" si="49"/>
        <v>-0.98</v>
      </c>
      <c r="AA86" s="183">
        <f t="shared" si="50"/>
        <v>0</v>
      </c>
      <c r="AB86" s="187">
        <f t="shared" si="51"/>
        <v>0</v>
      </c>
      <c r="AC86" s="183">
        <f t="shared" si="52"/>
        <v>0</v>
      </c>
      <c r="AD86" s="188">
        <f t="shared" si="53"/>
        <v>4.5833333337213844E-2</v>
      </c>
      <c r="AE86" s="188">
        <f t="shared" si="54"/>
        <v>0</v>
      </c>
      <c r="AF86" s="188">
        <f t="shared" si="55"/>
        <v>4.5833333337213844E-2</v>
      </c>
      <c r="AG86" s="188">
        <f t="shared" si="56"/>
        <v>0</v>
      </c>
    </row>
    <row r="87" spans="2:33" ht="15" customHeight="1" x14ac:dyDescent="0.15">
      <c r="B87" s="174" t="s">
        <v>5</v>
      </c>
      <c r="C87" s="175" t="s">
        <v>15</v>
      </c>
      <c r="D87" s="176" t="str">
        <f t="shared" si="38"/>
        <v>C</v>
      </c>
      <c r="E87" s="177" t="d">
        <v>2021-06-07T22:15:00.00000020954757600</v>
      </c>
      <c r="F87" s="178" t="s">
        <v>81</v>
      </c>
      <c r="G87" s="179">
        <v>13794.96</v>
      </c>
      <c r="H87" s="179">
        <v>13749.06</v>
      </c>
      <c r="I87" s="180">
        <f t="shared" si="39"/>
        <v>45.899999999999636</v>
      </c>
      <c r="J87" s="179">
        <v>14070.35</v>
      </c>
      <c r="K87" s="177" t="d">
        <v>2021-06-08T08:54:00.00000008381903175</v>
      </c>
      <c r="L87" s="179">
        <v>13821.72</v>
      </c>
      <c r="M87" s="181">
        <f t="shared" si="40"/>
        <v>26.76</v>
      </c>
      <c r="N87" s="182">
        <f t="shared" si="41"/>
        <v>0.57999999999999996</v>
      </c>
      <c r="O87" s="183">
        <f t="shared" si="42"/>
        <v>0</v>
      </c>
      <c r="P87" s="184">
        <f t="shared" si="43"/>
        <v>0.57999999999999996</v>
      </c>
      <c r="Q87" s="184">
        <f t="shared" si="44"/>
        <v>0</v>
      </c>
      <c r="R8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29222.5</v>
      </c>
      <c r="T8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29427.5</v>
      </c>
      <c r="U87" s="186">
        <f ca="1">IF(Tabla336106734811[[#This Row],[Equity]]&lt;Tabla336106734811[[#This Row],[Equity Peak]],(Tabla336106734811[[#This Row],[Equity Peak]]-Tabla336106734811[[#This Row],[Equity]])/Tabla336106734811[[#This Row],[Equity Peak]],"")</f>
        <v>6.9662730439215021E-3</v>
      </c>
      <c r="V87" s="187">
        <f t="shared" si="45"/>
        <v>0</v>
      </c>
      <c r="W87" s="187">
        <f t="shared" si="46"/>
        <v>0</v>
      </c>
      <c r="X87" s="187">
        <f t="shared" si="47"/>
        <v>0</v>
      </c>
      <c r="Y87" s="187">
        <f t="shared" si="48"/>
        <v>0</v>
      </c>
      <c r="Z87" s="187">
        <f t="shared" si="49"/>
        <v>0.57999999999999996</v>
      </c>
      <c r="AA87" s="183">
        <f t="shared" si="50"/>
        <v>0</v>
      </c>
      <c r="AB87" s="187">
        <f t="shared" si="51"/>
        <v>0</v>
      </c>
      <c r="AC87" s="183">
        <f t="shared" si="52"/>
        <v>0</v>
      </c>
      <c r="AD87" s="188">
        <f t="shared" si="53"/>
        <v>0.44374999999854481</v>
      </c>
      <c r="AE87" s="188">
        <f t="shared" si="54"/>
        <v>0.44374999999854481</v>
      </c>
      <c r="AF87" s="188">
        <f t="shared" si="55"/>
        <v>0</v>
      </c>
      <c r="AG87" s="188">
        <f t="shared" si="56"/>
        <v>0</v>
      </c>
    </row>
    <row r="88" spans="2:33" ht="15" customHeight="1" x14ac:dyDescent="0.15">
      <c r="B88" s="174" t="s">
        <v>5</v>
      </c>
      <c r="C88" s="175" t="s">
        <v>15</v>
      </c>
      <c r="D88" s="176" t="str">
        <f t="shared" si="38"/>
        <v>C</v>
      </c>
      <c r="E88" s="177" t="d">
        <v>2021-06-04T17:15:00.000</v>
      </c>
      <c r="F88" s="178" t="s">
        <v>81</v>
      </c>
      <c r="G88" s="179">
        <v>13737.67</v>
      </c>
      <c r="H88" s="179">
        <v>13683.62</v>
      </c>
      <c r="I88" s="180">
        <f t="shared" si="39"/>
        <v>54.049999999999272</v>
      </c>
      <c r="J88" s="179">
        <v>14061.97</v>
      </c>
      <c r="K88" s="177" t="d">
        <v>2021-06-07T12:08:59.99999987427145575</v>
      </c>
      <c r="L88" s="179">
        <v>13703.38</v>
      </c>
      <c r="M88" s="181">
        <f t="shared" si="40"/>
        <v>-34.29</v>
      </c>
      <c r="N88" s="182">
        <f t="shared" si="41"/>
        <v>-0.63</v>
      </c>
      <c r="O88" s="183">
        <f t="shared" si="42"/>
        <v>0</v>
      </c>
      <c r="P88" s="184">
        <f t="shared" si="43"/>
        <v>0</v>
      </c>
      <c r="Q88" s="184">
        <f t="shared" si="44"/>
        <v>-0.63</v>
      </c>
      <c r="R8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29077.5</v>
      </c>
      <c r="T8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29427.5</v>
      </c>
      <c r="U88" s="186">
        <f ca="1">IF(Tabla336106734811[[#This Row],[Equity]]&lt;Tabla336106734811[[#This Row],[Equity Peak]],(Tabla336106734811[[#This Row],[Equity Peak]]-Tabla336106734811[[#This Row],[Equity]])/Tabla336106734811[[#This Row],[Equity Peak]],"")</f>
        <v>1.1893636904256223E-2</v>
      </c>
      <c r="V88" s="187">
        <f t="shared" si="45"/>
        <v>0</v>
      </c>
      <c r="W88" s="187">
        <f t="shared" si="46"/>
        <v>0</v>
      </c>
      <c r="X88" s="187">
        <f t="shared" si="47"/>
        <v>0</v>
      </c>
      <c r="Y88" s="187">
        <f t="shared" si="48"/>
        <v>0</v>
      </c>
      <c r="Z88" s="187">
        <f t="shared" si="49"/>
        <v>-0.63</v>
      </c>
      <c r="AA88" s="183">
        <f t="shared" si="50"/>
        <v>0</v>
      </c>
      <c r="AB88" s="187">
        <f t="shared" si="51"/>
        <v>0</v>
      </c>
      <c r="AC88" s="183">
        <f t="shared" si="52"/>
        <v>0</v>
      </c>
      <c r="AD88" s="188">
        <f t="shared" si="53"/>
        <v>2.7874999999985448</v>
      </c>
      <c r="AE88" s="188">
        <f t="shared" si="54"/>
        <v>0</v>
      </c>
      <c r="AF88" s="188">
        <f t="shared" si="55"/>
        <v>2.7874999999985448</v>
      </c>
      <c r="AG88" s="188">
        <f t="shared" si="56"/>
        <v>0</v>
      </c>
    </row>
    <row r="89" spans="2:33" ht="15" customHeight="1" x14ac:dyDescent="0.15">
      <c r="B89" s="174" t="s">
        <v>5</v>
      </c>
      <c r="C89" s="175" t="s">
        <v>13</v>
      </c>
      <c r="D89" s="176" t="str">
        <f t="shared" si="38"/>
        <v>C</v>
      </c>
      <c r="E89" s="177" t="d">
        <v>2021-06-03T14:00:00.00000020954757600</v>
      </c>
      <c r="F89" s="178" t="s">
        <v>81</v>
      </c>
      <c r="G89" s="179">
        <v>13580.34</v>
      </c>
      <c r="H89" s="179">
        <v>13622.59</v>
      </c>
      <c r="I89" s="180">
        <f t="shared" si="39"/>
        <v>42.25</v>
      </c>
      <c r="J89" s="179">
        <v>13326.83</v>
      </c>
      <c r="K89" s="177" t="d">
        <v>2021-06-03T17:09:00.00000008381903175</v>
      </c>
      <c r="L89" s="179">
        <v>13538.46</v>
      </c>
      <c r="M89" s="181">
        <f t="shared" si="40"/>
        <v>41.88</v>
      </c>
      <c r="N89" s="182">
        <f t="shared" si="41"/>
        <v>0.99</v>
      </c>
      <c r="O89" s="183">
        <f t="shared" si="42"/>
        <v>0</v>
      </c>
      <c r="P89" s="184">
        <f t="shared" si="43"/>
        <v>0.99</v>
      </c>
      <c r="Q89" s="184">
        <f t="shared" si="44"/>
        <v>0</v>
      </c>
      <c r="R8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8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29235</v>
      </c>
      <c r="T8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29427.5</v>
      </c>
      <c r="U89" s="186">
        <f ca="1">IF(Tabla336106734811[[#This Row],[Equity]]&lt;Tabla336106734811[[#This Row],[Equity Peak]],(Tabla336106734811[[#This Row],[Equity Peak]]-Tabla336106734811[[#This Row],[Equity]])/Tabla336106734811[[#This Row],[Equity Peak]],"")</f>
        <v>6.5415002973409223E-3</v>
      </c>
      <c r="V89" s="187">
        <f t="shared" si="45"/>
        <v>0</v>
      </c>
      <c r="W89" s="187">
        <f t="shared" si="46"/>
        <v>0</v>
      </c>
      <c r="X89" s="187">
        <f t="shared" si="47"/>
        <v>0</v>
      </c>
      <c r="Y89" s="187">
        <f t="shared" si="48"/>
        <v>0</v>
      </c>
      <c r="Z89" s="187">
        <f t="shared" si="49"/>
        <v>0.99</v>
      </c>
      <c r="AA89" s="183">
        <f t="shared" si="50"/>
        <v>0</v>
      </c>
      <c r="AB89" s="187">
        <f t="shared" si="51"/>
        <v>0</v>
      </c>
      <c r="AC89" s="183">
        <f t="shared" si="52"/>
        <v>0</v>
      </c>
      <c r="AD89" s="188">
        <f t="shared" si="53"/>
        <v>0.13124999999854481</v>
      </c>
      <c r="AE89" s="188">
        <f t="shared" si="54"/>
        <v>0.13124999999854481</v>
      </c>
      <c r="AF89" s="188">
        <f t="shared" si="55"/>
        <v>0</v>
      </c>
      <c r="AG89" s="188">
        <f t="shared" si="56"/>
        <v>0</v>
      </c>
    </row>
    <row r="90" spans="2:33" ht="15" customHeight="1" x14ac:dyDescent="0.15">
      <c r="B90" s="174" t="s">
        <v>5</v>
      </c>
      <c r="C90" s="175" t="s">
        <v>15</v>
      </c>
      <c r="D90" s="176" t="str">
        <f t="shared" si="38"/>
        <v>C</v>
      </c>
      <c r="E90" s="177" t="d">
        <v>2021-05-28T16:44:59.99999979045242400</v>
      </c>
      <c r="F90" s="178" t="s">
        <v>81</v>
      </c>
      <c r="G90" s="179">
        <v>13733.4</v>
      </c>
      <c r="H90" s="179">
        <v>13692.11</v>
      </c>
      <c r="I90" s="180">
        <f t="shared" si="39"/>
        <v>41.289999999999054</v>
      </c>
      <c r="J90" s="179">
        <v>13981.16</v>
      </c>
      <c r="K90" s="177" t="d">
        <v>2021-05-28T22:54:00.00000029336660775</v>
      </c>
      <c r="L90" s="179">
        <v>13702.01</v>
      </c>
      <c r="M90" s="181">
        <f t="shared" si="40"/>
        <v>-31.39</v>
      </c>
      <c r="N90" s="182">
        <f t="shared" si="41"/>
        <v>-0.76</v>
      </c>
      <c r="O90" s="183">
        <f t="shared" si="42"/>
        <v>0</v>
      </c>
      <c r="P90" s="184">
        <f t="shared" si="43"/>
        <v>0</v>
      </c>
      <c r="Q90" s="184">
        <f t="shared" si="44"/>
        <v>-0.76</v>
      </c>
      <c r="R9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28987.5</v>
      </c>
      <c r="T9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29427.5</v>
      </c>
      <c r="U90" s="186">
        <f ca="1">IF(Tabla336106734811[[#This Row],[Equity]]&lt;Tabla336106734811[[#This Row],[Equity Peak]],(Tabla336106734811[[#This Row],[Equity Peak]]-Tabla336106734811[[#This Row],[Equity]])/Tabla336106734811[[#This Row],[Equity Peak]],"")</f>
        <v>1.4952000679636394E-2</v>
      </c>
      <c r="V90" s="187">
        <f t="shared" si="45"/>
        <v>0</v>
      </c>
      <c r="W90" s="187">
        <f t="shared" si="46"/>
        <v>0</v>
      </c>
      <c r="X90" s="187">
        <f t="shared" si="47"/>
        <v>0</v>
      </c>
      <c r="Y90" s="187">
        <f t="shared" si="48"/>
        <v>0</v>
      </c>
      <c r="Z90" s="187">
        <f t="shared" si="49"/>
        <v>-0.76</v>
      </c>
      <c r="AA90" s="183">
        <f t="shared" si="50"/>
        <v>0</v>
      </c>
      <c r="AB90" s="187">
        <f t="shared" si="51"/>
        <v>0</v>
      </c>
      <c r="AC90" s="183">
        <f t="shared" si="52"/>
        <v>0</v>
      </c>
      <c r="AD90" s="188">
        <f t="shared" si="53"/>
        <v>0.25625000000582077</v>
      </c>
      <c r="AE90" s="188">
        <f t="shared" si="54"/>
        <v>0</v>
      </c>
      <c r="AF90" s="188">
        <f t="shared" si="55"/>
        <v>0.25625000000582077</v>
      </c>
      <c r="AG90" s="188">
        <f t="shared" si="56"/>
        <v>0</v>
      </c>
    </row>
    <row r="91" spans="2:33" ht="15" customHeight="1" x14ac:dyDescent="0.15">
      <c r="B91" s="174" t="s">
        <v>5</v>
      </c>
      <c r="C91" s="175" t="s">
        <v>15</v>
      </c>
      <c r="D91" s="176" t="str">
        <f t="shared" si="38"/>
        <v>C</v>
      </c>
      <c r="E91" s="177" t="d">
        <v>2021-05-28T14:00:00.00000020954757600</v>
      </c>
      <c r="F91" s="178" t="s">
        <v>81</v>
      </c>
      <c r="G91" s="179">
        <v>13731.8</v>
      </c>
      <c r="H91" s="179">
        <v>13690.87</v>
      </c>
      <c r="I91" s="180">
        <f t="shared" si="39"/>
        <v>40.929999999998472</v>
      </c>
      <c r="J91" s="179">
        <v>13977.4</v>
      </c>
      <c r="K91" s="177" t="d">
        <v>2021-05-28T15:53:59.99999987427145575</v>
      </c>
      <c r="L91" s="179">
        <v>13690.87</v>
      </c>
      <c r="M91" s="181">
        <f t="shared" si="40"/>
        <v>-40.93</v>
      </c>
      <c r="N91" s="182">
        <f t="shared" si="41"/>
        <v>-1</v>
      </c>
      <c r="O91" s="183">
        <f t="shared" si="42"/>
        <v>0</v>
      </c>
      <c r="P91" s="184">
        <f t="shared" si="43"/>
        <v>0</v>
      </c>
      <c r="Q91" s="184">
        <f t="shared" si="44"/>
        <v>-1</v>
      </c>
      <c r="R9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29177.5</v>
      </c>
      <c r="T9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29427.5</v>
      </c>
      <c r="U91" s="186">
        <f ca="1">IF(Tabla336106734811[[#This Row],[Equity]]&lt;Tabla336106734811[[#This Row],[Equity Peak]],(Tabla336106734811[[#This Row],[Equity Peak]]-Tabla336106734811[[#This Row],[Equity]])/Tabla336106734811[[#This Row],[Equity Peak]],"")</f>
        <v>8.4954549316115877E-3</v>
      </c>
      <c r="V91" s="187">
        <f t="shared" si="45"/>
        <v>0</v>
      </c>
      <c r="W91" s="187">
        <f t="shared" si="46"/>
        <v>0</v>
      </c>
      <c r="X91" s="187">
        <f t="shared" si="47"/>
        <v>0</v>
      </c>
      <c r="Y91" s="187">
        <f t="shared" si="48"/>
        <v>0</v>
      </c>
      <c r="Z91" s="187">
        <f t="shared" si="49"/>
        <v>-1</v>
      </c>
      <c r="AA91" s="183">
        <f t="shared" si="50"/>
        <v>0</v>
      </c>
      <c r="AB91" s="187">
        <f t="shared" si="51"/>
        <v>0</v>
      </c>
      <c r="AC91" s="183">
        <f t="shared" si="52"/>
        <v>0</v>
      </c>
      <c r="AD91" s="188">
        <f t="shared" si="53"/>
        <v>7.9166666662786156E-2</v>
      </c>
      <c r="AE91" s="188">
        <f t="shared" si="54"/>
        <v>0</v>
      </c>
      <c r="AF91" s="188">
        <f t="shared" si="55"/>
        <v>7.9166666662786156E-2</v>
      </c>
      <c r="AG91" s="188">
        <f t="shared" si="56"/>
        <v>0</v>
      </c>
    </row>
    <row r="92" spans="2:33" ht="15" customHeight="1" x14ac:dyDescent="0.15">
      <c r="B92" s="174" t="s">
        <v>5</v>
      </c>
      <c r="C92" s="175" t="s">
        <v>15</v>
      </c>
      <c r="D92" s="176" t="str">
        <f t="shared" si="38"/>
        <v>C</v>
      </c>
      <c r="E92" s="177" t="d">
        <v>2021-05-24T16:44:59.99999979045242400</v>
      </c>
      <c r="F92" s="178" t="s">
        <v>81</v>
      </c>
      <c r="G92" s="179">
        <v>13580.11</v>
      </c>
      <c r="H92" s="179">
        <v>13523.2</v>
      </c>
      <c r="I92" s="180">
        <f t="shared" si="39"/>
        <v>56.909999999999854</v>
      </c>
      <c r="J92" s="179">
        <v>13921.54</v>
      </c>
      <c r="K92" s="177" t="d">
        <v>2021-05-25T14:00:59.99999977648258200</v>
      </c>
      <c r="L92" s="179">
        <v>13684.29</v>
      </c>
      <c r="M92" s="181">
        <f t="shared" si="40"/>
        <v>104.18</v>
      </c>
      <c r="N92" s="182">
        <f t="shared" si="41"/>
        <v>1.83</v>
      </c>
      <c r="O92" s="183">
        <f t="shared" si="42"/>
        <v>0</v>
      </c>
      <c r="P92" s="184">
        <f t="shared" si="43"/>
        <v>1.83</v>
      </c>
      <c r="Q92" s="184">
        <f t="shared" si="44"/>
        <v>0</v>
      </c>
      <c r="R9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29427.5</v>
      </c>
      <c r="T9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29427.5</v>
      </c>
      <c r="U92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92" s="187">
        <f t="shared" si="45"/>
        <v>0</v>
      </c>
      <c r="W92" s="187">
        <f t="shared" si="46"/>
        <v>0</v>
      </c>
      <c r="X92" s="187">
        <f t="shared" si="47"/>
        <v>0</v>
      </c>
      <c r="Y92" s="187">
        <f t="shared" si="48"/>
        <v>0</v>
      </c>
      <c r="Z92" s="187">
        <f t="shared" si="49"/>
        <v>1.83</v>
      </c>
      <c r="AA92" s="183">
        <f t="shared" si="50"/>
        <v>0</v>
      </c>
      <c r="AB92" s="187">
        <f t="shared" si="51"/>
        <v>0</v>
      </c>
      <c r="AC92" s="183">
        <f t="shared" si="52"/>
        <v>0</v>
      </c>
      <c r="AD92" s="188">
        <f t="shared" si="53"/>
        <v>0.88611111111094942</v>
      </c>
      <c r="AE92" s="188">
        <f t="shared" si="54"/>
        <v>0.88611111111094942</v>
      </c>
      <c r="AF92" s="188">
        <f t="shared" si="55"/>
        <v>0</v>
      </c>
      <c r="AG92" s="188">
        <f t="shared" si="56"/>
        <v>0</v>
      </c>
    </row>
    <row r="93" spans="2:33" ht="15" customHeight="1" x14ac:dyDescent="0.15">
      <c r="B93" s="174" t="s">
        <v>5</v>
      </c>
      <c r="C93" s="175" t="s">
        <v>15</v>
      </c>
      <c r="D93" s="176" t="str">
        <f t="shared" si="38"/>
        <v>C</v>
      </c>
      <c r="E93" s="177" t="d">
        <v>2021-05-20T18:30:00.00000020954757600</v>
      </c>
      <c r="F93" s="178" t="s">
        <v>81</v>
      </c>
      <c r="G93" s="179">
        <v>13476.82</v>
      </c>
      <c r="H93" s="179">
        <v>13395.15</v>
      </c>
      <c r="I93" s="180">
        <f t="shared" si="39"/>
        <v>81.670000000000073</v>
      </c>
      <c r="J93" s="179">
        <v>13966.84</v>
      </c>
      <c r="K93" s="177" t="d">
        <v>2021-05-21T17:45:59.99999977648258200</v>
      </c>
      <c r="L93" s="179">
        <v>13452.73</v>
      </c>
      <c r="M93" s="181">
        <f t="shared" si="40"/>
        <v>-24.09</v>
      </c>
      <c r="N93" s="182">
        <f t="shared" si="41"/>
        <v>-0.28999999999999998</v>
      </c>
      <c r="O93" s="183">
        <f t="shared" si="42"/>
        <v>0</v>
      </c>
      <c r="P93" s="184">
        <f t="shared" si="43"/>
        <v>0</v>
      </c>
      <c r="Q93" s="184">
        <f t="shared" si="44"/>
        <v>-0.28999999999999998</v>
      </c>
      <c r="R9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28970</v>
      </c>
      <c r="T9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29042.5</v>
      </c>
      <c r="U93" s="186">
        <f ca="1">IF(Tabla336106734811[[#This Row],[Equity]]&lt;Tabla336106734811[[#This Row],[Equity Peak]],(Tabla336106734811[[#This Row],[Equity Peak]]-Tabla336106734811[[#This Row],[Equity]])/Tabla336106734811[[#This Row],[Equity Peak]],"")</f>
        <v>2.496341568391151E-3</v>
      </c>
      <c r="V93" s="187">
        <f t="shared" si="45"/>
        <v>0</v>
      </c>
      <c r="W93" s="187">
        <f t="shared" si="46"/>
        <v>0</v>
      </c>
      <c r="X93" s="187">
        <f t="shared" si="47"/>
        <v>0</v>
      </c>
      <c r="Y93" s="187">
        <f t="shared" si="48"/>
        <v>0</v>
      </c>
      <c r="Z93" s="187">
        <f t="shared" si="49"/>
        <v>-0.28999999999999998</v>
      </c>
      <c r="AA93" s="183">
        <f t="shared" si="50"/>
        <v>0</v>
      </c>
      <c r="AB93" s="187">
        <f t="shared" si="51"/>
        <v>0</v>
      </c>
      <c r="AC93" s="183">
        <f t="shared" si="52"/>
        <v>0</v>
      </c>
      <c r="AD93" s="188">
        <f t="shared" si="53"/>
        <v>0.96944444443943212</v>
      </c>
      <c r="AE93" s="188">
        <f t="shared" si="54"/>
        <v>0</v>
      </c>
      <c r="AF93" s="188">
        <f t="shared" si="55"/>
        <v>0.96944444443943212</v>
      </c>
      <c r="AG93" s="188">
        <f t="shared" si="56"/>
        <v>0</v>
      </c>
    </row>
    <row r="94" spans="2:33" ht="15" customHeight="1" x14ac:dyDescent="0.15">
      <c r="B94" s="174" t="s">
        <v>5</v>
      </c>
      <c r="C94" s="175" t="s">
        <v>13</v>
      </c>
      <c r="D94" s="176" t="str">
        <f t="shared" si="38"/>
        <v>C</v>
      </c>
      <c r="E94" s="177" t="d">
        <v>2021-05-19T03:00:00.000</v>
      </c>
      <c r="F94" s="178" t="s">
        <v>81</v>
      </c>
      <c r="G94" s="179">
        <v>13176.13</v>
      </c>
      <c r="H94" s="179">
        <v>13241.36</v>
      </c>
      <c r="I94" s="180">
        <f t="shared" si="39"/>
        <v>65.230000000001382</v>
      </c>
      <c r="J94" s="179">
        <v>12784.77</v>
      </c>
      <c r="K94" s="177" t="d">
        <v>2021-05-19T16:37:00.00000011175870900</v>
      </c>
      <c r="L94" s="179">
        <v>13039.63</v>
      </c>
      <c r="M94" s="181">
        <f t="shared" si="40"/>
        <v>136.5</v>
      </c>
      <c r="N94" s="182">
        <f t="shared" si="41"/>
        <v>2.09</v>
      </c>
      <c r="O94" s="183">
        <f t="shared" si="42"/>
        <v>0</v>
      </c>
      <c r="P94" s="184">
        <f t="shared" si="43"/>
        <v>2.09</v>
      </c>
      <c r="Q94" s="184">
        <f t="shared" si="44"/>
        <v>0</v>
      </c>
      <c r="R9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29042.5</v>
      </c>
      <c r="T9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29042.5</v>
      </c>
      <c r="U94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94" s="187">
        <f t="shared" si="45"/>
        <v>0</v>
      </c>
      <c r="W94" s="187">
        <f t="shared" si="46"/>
        <v>0</v>
      </c>
      <c r="X94" s="187">
        <f t="shared" si="47"/>
        <v>0</v>
      </c>
      <c r="Y94" s="187">
        <f t="shared" si="48"/>
        <v>0</v>
      </c>
      <c r="Z94" s="187">
        <f t="shared" si="49"/>
        <v>2.09</v>
      </c>
      <c r="AA94" s="183">
        <f t="shared" si="50"/>
        <v>0</v>
      </c>
      <c r="AB94" s="187">
        <f t="shared" si="51"/>
        <v>0</v>
      </c>
      <c r="AC94" s="183">
        <f t="shared" si="52"/>
        <v>0</v>
      </c>
      <c r="AD94" s="188">
        <f t="shared" si="53"/>
        <v>0.56736111111240461</v>
      </c>
      <c r="AE94" s="188">
        <f t="shared" si="54"/>
        <v>0.56736111111240461</v>
      </c>
      <c r="AF94" s="188">
        <f t="shared" si="55"/>
        <v>0</v>
      </c>
      <c r="AG94" s="188">
        <f t="shared" si="56"/>
        <v>0</v>
      </c>
    </row>
    <row r="95" spans="2:33" ht="15" customHeight="1" x14ac:dyDescent="0.15">
      <c r="B95" s="174" t="s">
        <v>5</v>
      </c>
      <c r="C95" s="175" t="s">
        <v>13</v>
      </c>
      <c r="D95" s="176" t="str">
        <f t="shared" si="38"/>
        <v>C</v>
      </c>
      <c r="E95" s="177" t="d">
        <v>2021-05-12T18:59:59.99999979045242400</v>
      </c>
      <c r="F95" s="178" t="s">
        <v>81</v>
      </c>
      <c r="G95" s="179">
        <v>13024.7</v>
      </c>
      <c r="H95" s="179">
        <v>13129.01</v>
      </c>
      <c r="I95" s="180">
        <f t="shared" si="39"/>
        <v>104.30999999999949</v>
      </c>
      <c r="J95" s="179">
        <v>12398.83</v>
      </c>
      <c r="K95" s="177" t="d">
        <v>2021-05-13T15:36:59.99999969266355025</v>
      </c>
      <c r="L95" s="179">
        <v>13105.57</v>
      </c>
      <c r="M95" s="181">
        <f t="shared" si="40"/>
        <v>-80.87</v>
      </c>
      <c r="N95" s="182">
        <f t="shared" si="41"/>
        <v>-0.78</v>
      </c>
      <c r="O95" s="183">
        <f t="shared" si="42"/>
        <v>0</v>
      </c>
      <c r="P95" s="184">
        <f t="shared" si="43"/>
        <v>0</v>
      </c>
      <c r="Q95" s="184">
        <f t="shared" si="44"/>
        <v>-0.78</v>
      </c>
      <c r="R9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28520</v>
      </c>
      <c r="T9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28715</v>
      </c>
      <c r="U95" s="186">
        <f ca="1">IF(Tabla336106734811[[#This Row],[Equity]]&lt;Tabla336106734811[[#This Row],[Equity Peak]],(Tabla336106734811[[#This Row],[Equity Peak]]-Tabla336106734811[[#This Row],[Equity]])/Tabla336106734811[[#This Row],[Equity Peak]],"")</f>
        <v>6.790875848859481E-3</v>
      </c>
      <c r="V95" s="187">
        <f t="shared" si="45"/>
        <v>0</v>
      </c>
      <c r="W95" s="187">
        <f t="shared" si="46"/>
        <v>0</v>
      </c>
      <c r="X95" s="187">
        <f t="shared" si="47"/>
        <v>0</v>
      </c>
      <c r="Y95" s="187">
        <f t="shared" si="48"/>
        <v>0</v>
      </c>
      <c r="Z95" s="187">
        <f t="shared" si="49"/>
        <v>-0.78</v>
      </c>
      <c r="AA95" s="183">
        <f t="shared" si="50"/>
        <v>0</v>
      </c>
      <c r="AB95" s="187">
        <f t="shared" si="51"/>
        <v>0</v>
      </c>
      <c r="AC95" s="183">
        <f t="shared" si="52"/>
        <v>0</v>
      </c>
      <c r="AD95" s="188">
        <f t="shared" si="53"/>
        <v>0.85902777777664596</v>
      </c>
      <c r="AE95" s="188">
        <f t="shared" si="54"/>
        <v>0</v>
      </c>
      <c r="AF95" s="188">
        <f t="shared" si="55"/>
        <v>0.85902777777664596</v>
      </c>
      <c r="AG95" s="188">
        <f t="shared" si="56"/>
        <v>0</v>
      </c>
    </row>
    <row r="96" spans="2:33" ht="15" customHeight="1" x14ac:dyDescent="0.15">
      <c r="B96" s="174" t="s">
        <v>5</v>
      </c>
      <c r="C96" s="175" t="s">
        <v>13</v>
      </c>
      <c r="D96" s="176" t="str">
        <f t="shared" si="38"/>
        <v>C</v>
      </c>
      <c r="E96" s="177" t="d">
        <v>2021-05-10T16:44:59.99999979045242400</v>
      </c>
      <c r="F96" s="178" t="s">
        <v>81</v>
      </c>
      <c r="G96" s="179">
        <v>13563.16</v>
      </c>
      <c r="H96" s="179">
        <v>13630.19</v>
      </c>
      <c r="I96" s="180">
        <f t="shared" si="39"/>
        <v>67.030000000000655</v>
      </c>
      <c r="J96" s="179">
        <v>13160.99</v>
      </c>
      <c r="K96" s="177" t="d">
        <v>2021-05-11T08:39:00.00000029336660775</v>
      </c>
      <c r="L96" s="179">
        <v>13270.23</v>
      </c>
      <c r="M96" s="181">
        <f t="shared" si="40"/>
        <v>292.93</v>
      </c>
      <c r="N96" s="182">
        <f t="shared" si="41"/>
        <v>4.37</v>
      </c>
      <c r="O96" s="183">
        <f t="shared" si="42"/>
        <v>0</v>
      </c>
      <c r="P96" s="184">
        <f t="shared" si="43"/>
        <v>4.37</v>
      </c>
      <c r="Q96" s="184">
        <f t="shared" si="44"/>
        <v>0</v>
      </c>
      <c r="R9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28715</v>
      </c>
      <c r="T9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28715</v>
      </c>
      <c r="U96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96" s="187">
        <f t="shared" si="45"/>
        <v>0</v>
      </c>
      <c r="W96" s="187">
        <f t="shared" si="46"/>
        <v>0</v>
      </c>
      <c r="X96" s="187">
        <f t="shared" si="47"/>
        <v>0</v>
      </c>
      <c r="Y96" s="187">
        <f t="shared" si="48"/>
        <v>0</v>
      </c>
      <c r="Z96" s="187">
        <f t="shared" si="49"/>
        <v>4.37</v>
      </c>
      <c r="AA96" s="183">
        <f t="shared" si="50"/>
        <v>0</v>
      </c>
      <c r="AB96" s="187">
        <f t="shared" si="51"/>
        <v>0</v>
      </c>
      <c r="AC96" s="183">
        <f t="shared" si="52"/>
        <v>0</v>
      </c>
      <c r="AD96" s="188">
        <f t="shared" si="53"/>
        <v>0.66250000000582077</v>
      </c>
      <c r="AE96" s="188">
        <f t="shared" si="54"/>
        <v>0.66250000000582077</v>
      </c>
      <c r="AF96" s="188">
        <f t="shared" si="55"/>
        <v>0</v>
      </c>
      <c r="AG96" s="188">
        <f t="shared" si="56"/>
        <v>0</v>
      </c>
    </row>
    <row r="97" spans="2:33" ht="15" customHeight="1" x14ac:dyDescent="0.15">
      <c r="B97" s="174" t="s">
        <v>5</v>
      </c>
      <c r="C97" s="175" t="s">
        <v>15</v>
      </c>
      <c r="D97" s="176" t="str">
        <f t="shared" si="38"/>
        <v>C</v>
      </c>
      <c r="E97" s="177" t="d">
        <v>2021-05-07T15:45:00.000</v>
      </c>
      <c r="F97" s="178" t="s">
        <v>81</v>
      </c>
      <c r="G97" s="179">
        <v>13816.01</v>
      </c>
      <c r="H97" s="179">
        <v>13747.84</v>
      </c>
      <c r="I97" s="180">
        <f t="shared" si="39"/>
        <v>68.170000000000073</v>
      </c>
      <c r="J97" s="179">
        <v>14225</v>
      </c>
      <c r="K97" s="177" t="d">
        <v>2021-05-07T16:09:00.00000029336660775</v>
      </c>
      <c r="L97" s="179">
        <v>13747.84</v>
      </c>
      <c r="M97" s="181">
        <f t="shared" si="40"/>
        <v>-68.17</v>
      </c>
      <c r="N97" s="182">
        <f t="shared" si="41"/>
        <v>-1</v>
      </c>
      <c r="O97" s="183">
        <f t="shared" si="42"/>
        <v>0</v>
      </c>
      <c r="P97" s="184">
        <f t="shared" si="43"/>
        <v>0</v>
      </c>
      <c r="Q97" s="184">
        <f t="shared" si="44"/>
        <v>-1</v>
      </c>
      <c r="R9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27622.5</v>
      </c>
      <c r="T9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27872.5</v>
      </c>
      <c r="U97" s="186">
        <f ca="1">IF(Tabla336106734811[[#This Row],[Equity]]&lt;Tabla336106734811[[#This Row],[Equity Peak]],(Tabla336106734811[[#This Row],[Equity Peak]]-Tabla336106734811[[#This Row],[Equity]])/Tabla336106734811[[#This Row],[Equity Peak]],"")</f>
        <v>8.9694142972463892E-3</v>
      </c>
      <c r="V97" s="187">
        <f t="shared" si="45"/>
        <v>0</v>
      </c>
      <c r="W97" s="187">
        <f t="shared" si="46"/>
        <v>0</v>
      </c>
      <c r="X97" s="187">
        <f t="shared" si="47"/>
        <v>0</v>
      </c>
      <c r="Y97" s="187">
        <f t="shared" si="48"/>
        <v>0</v>
      </c>
      <c r="Z97" s="187">
        <f t="shared" si="49"/>
        <v>-1</v>
      </c>
      <c r="AA97" s="183">
        <f t="shared" si="50"/>
        <v>0</v>
      </c>
      <c r="AB97" s="187">
        <f t="shared" si="51"/>
        <v>0</v>
      </c>
      <c r="AC97" s="183">
        <f t="shared" si="52"/>
        <v>0</v>
      </c>
      <c r="AD97" s="188">
        <f t="shared" si="53"/>
        <v>1.6666666670062114E-2</v>
      </c>
      <c r="AE97" s="188">
        <f t="shared" si="54"/>
        <v>0</v>
      </c>
      <c r="AF97" s="188">
        <f t="shared" si="55"/>
        <v>1.6666666670062114E-2</v>
      </c>
      <c r="AG97" s="188">
        <f t="shared" si="56"/>
        <v>0</v>
      </c>
    </row>
    <row r="98" spans="2:33" ht="15" customHeight="1" x14ac:dyDescent="0.15">
      <c r="B98" s="174" t="s">
        <v>5</v>
      </c>
      <c r="C98" s="175" t="s">
        <v>13</v>
      </c>
      <c r="D98" s="176" t="str">
        <f t="shared" si="38"/>
        <v>C</v>
      </c>
      <c r="E98" s="177" t="d">
        <v>2021-05-03T18:30:00.00000020954757600</v>
      </c>
      <c r="F98" s="178" t="s">
        <v>81</v>
      </c>
      <c r="G98" s="179">
        <v>13797.62</v>
      </c>
      <c r="H98" s="179">
        <v>13856.01</v>
      </c>
      <c r="I98" s="180">
        <f t="shared" si="39"/>
        <v>58.389999999999418</v>
      </c>
      <c r="J98" s="179">
        <v>13447.28</v>
      </c>
      <c r="K98" s="177" t="d">
        <v>2021-05-04T18:14:59.99999979045242400</v>
      </c>
      <c r="L98" s="179">
        <v>13447.28</v>
      </c>
      <c r="M98" s="181">
        <f t="shared" si="40"/>
        <v>350.34</v>
      </c>
      <c r="N98" s="182">
        <f t="shared" si="41"/>
        <v>6</v>
      </c>
      <c r="O98" s="183">
        <f t="shared" si="42"/>
        <v>0</v>
      </c>
      <c r="P98" s="184">
        <f t="shared" si="43"/>
        <v>6</v>
      </c>
      <c r="Q98" s="184">
        <f t="shared" si="44"/>
        <v>0</v>
      </c>
      <c r="R9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27872.5</v>
      </c>
      <c r="T9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27872.5</v>
      </c>
      <c r="U98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98" s="187">
        <f t="shared" si="45"/>
        <v>0</v>
      </c>
      <c r="W98" s="187">
        <f t="shared" si="46"/>
        <v>0</v>
      </c>
      <c r="X98" s="187">
        <f t="shared" si="47"/>
        <v>0</v>
      </c>
      <c r="Y98" s="187">
        <f t="shared" si="48"/>
        <v>0</v>
      </c>
      <c r="Z98" s="187">
        <f t="shared" si="49"/>
        <v>6</v>
      </c>
      <c r="AA98" s="183">
        <f t="shared" si="50"/>
        <v>0</v>
      </c>
      <c r="AB98" s="187">
        <f t="shared" si="51"/>
        <v>0</v>
      </c>
      <c r="AC98" s="183">
        <f t="shared" si="52"/>
        <v>0</v>
      </c>
      <c r="AD98" s="188">
        <f t="shared" si="53"/>
        <v>0.98958333332848269</v>
      </c>
      <c r="AE98" s="188">
        <f t="shared" si="54"/>
        <v>0.98958333332848269</v>
      </c>
      <c r="AF98" s="188">
        <f t="shared" si="55"/>
        <v>0</v>
      </c>
      <c r="AG98" s="188">
        <f t="shared" si="56"/>
        <v>0</v>
      </c>
    </row>
    <row r="99" spans="2:33" ht="15" customHeight="1" x14ac:dyDescent="0.15">
      <c r="B99" s="174" t="s">
        <v>5</v>
      </c>
      <c r="C99" s="175" t="s">
        <v>15</v>
      </c>
      <c r="D99" s="176" t="str">
        <f t="shared" si="38"/>
        <v>C</v>
      </c>
      <c r="E99" s="177" t="d">
        <v>2021-04-29T14:15:00.000</v>
      </c>
      <c r="F99" s="178" t="s">
        <v>81</v>
      </c>
      <c r="G99" s="179">
        <v>14060.15</v>
      </c>
      <c r="H99" s="179">
        <v>14015.84</v>
      </c>
      <c r="I99" s="180">
        <f t="shared" si="39"/>
        <v>44.309999999999491</v>
      </c>
      <c r="J99" s="179">
        <v>14326.01</v>
      </c>
      <c r="K99" s="177" t="d">
        <v>2021-04-29T16:48:59.99999994412064550</v>
      </c>
      <c r="L99" s="179">
        <v>14015.84</v>
      </c>
      <c r="M99" s="181">
        <f t="shared" si="40"/>
        <v>-44.31</v>
      </c>
      <c r="N99" s="182">
        <f t="shared" si="41"/>
        <v>-1</v>
      </c>
      <c r="O99" s="183">
        <f t="shared" si="42"/>
        <v>0</v>
      </c>
      <c r="P99" s="184">
        <f t="shared" si="43"/>
        <v>0</v>
      </c>
      <c r="Q99" s="184">
        <f t="shared" si="44"/>
        <v>-1</v>
      </c>
      <c r="R9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9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26372.5</v>
      </c>
      <c r="T9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27140</v>
      </c>
      <c r="U99" s="186">
        <f ca="1">IF(Tabla336106734811[[#This Row],[Equity]]&lt;Tabla336106734811[[#This Row],[Equity Peak]],(Tabla336106734811[[#This Row],[Equity Peak]]-Tabla336106734811[[#This Row],[Equity]])/Tabla336106734811[[#This Row],[Equity Peak]],"")</f>
        <v>2.8279292557111275E-2</v>
      </c>
      <c r="V99" s="187">
        <f t="shared" si="45"/>
        <v>0</v>
      </c>
      <c r="W99" s="187">
        <f t="shared" si="46"/>
        <v>0</v>
      </c>
      <c r="X99" s="187">
        <f t="shared" si="47"/>
        <v>0</v>
      </c>
      <c r="Y99" s="187">
        <f t="shared" si="48"/>
        <v>0</v>
      </c>
      <c r="Z99" s="187">
        <f t="shared" si="49"/>
        <v>-1</v>
      </c>
      <c r="AA99" s="183">
        <f t="shared" si="50"/>
        <v>0</v>
      </c>
      <c r="AB99" s="187">
        <f t="shared" si="51"/>
        <v>0</v>
      </c>
      <c r="AC99" s="183">
        <f t="shared" si="52"/>
        <v>0</v>
      </c>
      <c r="AD99" s="188">
        <f t="shared" si="53"/>
        <v>0.10694444444379769</v>
      </c>
      <c r="AE99" s="188">
        <f t="shared" si="54"/>
        <v>0</v>
      </c>
      <c r="AF99" s="188">
        <f t="shared" si="55"/>
        <v>0.10694444444379769</v>
      </c>
      <c r="AG99" s="188">
        <f t="shared" si="56"/>
        <v>0</v>
      </c>
    </row>
    <row r="100" spans="2:33" ht="15" customHeight="1" x14ac:dyDescent="0.15">
      <c r="B100" s="174" t="s">
        <v>5</v>
      </c>
      <c r="C100" s="175" t="s">
        <v>15</v>
      </c>
      <c r="D100" s="176" t="str">
        <f t="shared" si="38"/>
        <v>C</v>
      </c>
      <c r="E100" s="177" t="d">
        <v>2021-04-26T18:14:59.99999979045242400</v>
      </c>
      <c r="F100" s="178" t="s">
        <v>81</v>
      </c>
      <c r="G100" s="179">
        <v>14003.18</v>
      </c>
      <c r="H100" s="179">
        <v>13951.93</v>
      </c>
      <c r="I100" s="180">
        <f t="shared" si="39"/>
        <v>51.25</v>
      </c>
      <c r="J100" s="179">
        <v>14310.68</v>
      </c>
      <c r="K100" s="177" t="d">
        <v>2021-04-27T16:47:00.00000018160789875</v>
      </c>
      <c r="L100" s="179">
        <v>13999.5</v>
      </c>
      <c r="M100" s="181">
        <f t="shared" si="40"/>
        <v>-3.68</v>
      </c>
      <c r="N100" s="182">
        <f t="shared" si="41"/>
        <v>-7.0000000000000007E-2</v>
      </c>
      <c r="O100" s="183">
        <f t="shared" si="42"/>
        <v>0</v>
      </c>
      <c r="P100" s="184">
        <f t="shared" si="43"/>
        <v>0</v>
      </c>
      <c r="Q100" s="184">
        <f t="shared" si="44"/>
        <v>-7.0000000000000007E-2</v>
      </c>
      <c r="R10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26622.5</v>
      </c>
      <c r="T10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27140</v>
      </c>
      <c r="U100" s="186">
        <f ca="1">IF(Tabla336106734811[[#This Row],[Equity]]&lt;Tabla336106734811[[#This Row],[Equity Peak]],(Tabla336106734811[[#This Row],[Equity Peak]]-Tabla336106734811[[#This Row],[Equity]])/Tabla336106734811[[#This Row],[Equity Peak]],"")</f>
        <v>1.9067796610169493E-2</v>
      </c>
      <c r="V100" s="187">
        <f t="shared" si="45"/>
        <v>0</v>
      </c>
      <c r="W100" s="187">
        <f t="shared" si="46"/>
        <v>0</v>
      </c>
      <c r="X100" s="187">
        <f t="shared" si="47"/>
        <v>0</v>
      </c>
      <c r="Y100" s="187">
        <f t="shared" si="48"/>
        <v>0</v>
      </c>
      <c r="Z100" s="187">
        <f t="shared" si="49"/>
        <v>-7.0000000000000007E-2</v>
      </c>
      <c r="AA100" s="183">
        <f t="shared" si="50"/>
        <v>0</v>
      </c>
      <c r="AB100" s="187">
        <f t="shared" si="51"/>
        <v>0</v>
      </c>
      <c r="AC100" s="183">
        <f t="shared" si="52"/>
        <v>0</v>
      </c>
      <c r="AD100" s="188">
        <f t="shared" si="53"/>
        <v>0.93888888889341615</v>
      </c>
      <c r="AE100" s="188">
        <f t="shared" si="54"/>
        <v>0</v>
      </c>
      <c r="AF100" s="188">
        <f t="shared" si="55"/>
        <v>0.93888888889341615</v>
      </c>
      <c r="AG100" s="188">
        <f t="shared" si="56"/>
        <v>0</v>
      </c>
    </row>
    <row r="101" spans="2:33" ht="15" customHeight="1" x14ac:dyDescent="0.15">
      <c r="B101" s="174" t="s">
        <v>5</v>
      </c>
      <c r="C101" s="175" t="s">
        <v>15</v>
      </c>
      <c r="D101" s="176" t="str">
        <f t="shared" si="38"/>
        <v>C</v>
      </c>
      <c r="E101" s="177" t="d">
        <v>2021-04-23T20:00:00.00000020954757600</v>
      </c>
      <c r="F101" s="178" t="s">
        <v>81</v>
      </c>
      <c r="G101" s="179">
        <v>13968.56</v>
      </c>
      <c r="H101" s="179">
        <v>13915.69</v>
      </c>
      <c r="I101" s="180">
        <f t="shared" si="39"/>
        <v>52.869999999998981</v>
      </c>
      <c r="J101" s="179">
        <v>14285.78</v>
      </c>
      <c r="K101" s="177" t="d">
        <v>2021-04-26T11:23:59.99999987427145575</v>
      </c>
      <c r="L101" s="179">
        <v>13915.69</v>
      </c>
      <c r="M101" s="181">
        <f t="shared" si="40"/>
        <v>-52.87</v>
      </c>
      <c r="N101" s="182">
        <f t="shared" si="41"/>
        <v>-1</v>
      </c>
      <c r="O101" s="183">
        <f t="shared" si="42"/>
        <v>0</v>
      </c>
      <c r="P101" s="184">
        <f t="shared" si="43"/>
        <v>0</v>
      </c>
      <c r="Q101" s="184">
        <f t="shared" si="44"/>
        <v>-1</v>
      </c>
      <c r="R10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26640</v>
      </c>
      <c r="T10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27140</v>
      </c>
      <c r="U101" s="186">
        <f ca="1">IF(Tabla336106734811[[#This Row],[Equity]]&lt;Tabla336106734811[[#This Row],[Equity Peak]],(Tabla336106734811[[#This Row],[Equity Peak]]-Tabla336106734811[[#This Row],[Equity]])/Tabla336106734811[[#This Row],[Equity Peak]],"")</f>
        <v>1.8422991893883568E-2</v>
      </c>
      <c r="V101" s="187">
        <f t="shared" si="45"/>
        <v>0</v>
      </c>
      <c r="W101" s="187">
        <f t="shared" si="46"/>
        <v>0</v>
      </c>
      <c r="X101" s="187">
        <f t="shared" si="47"/>
        <v>0</v>
      </c>
      <c r="Y101" s="187">
        <f t="shared" si="48"/>
        <v>0</v>
      </c>
      <c r="Z101" s="187">
        <f t="shared" si="49"/>
        <v>-1</v>
      </c>
      <c r="AA101" s="183">
        <f t="shared" si="50"/>
        <v>0</v>
      </c>
      <c r="AB101" s="187">
        <f t="shared" si="51"/>
        <v>0</v>
      </c>
      <c r="AC101" s="183">
        <f t="shared" si="52"/>
        <v>0</v>
      </c>
      <c r="AD101" s="188">
        <f t="shared" si="53"/>
        <v>2.6416666666627862</v>
      </c>
      <c r="AE101" s="188">
        <f t="shared" si="54"/>
        <v>0</v>
      </c>
      <c r="AF101" s="188">
        <f t="shared" si="55"/>
        <v>2.6416666666627862</v>
      </c>
      <c r="AG101" s="188">
        <f t="shared" si="56"/>
        <v>0</v>
      </c>
    </row>
    <row r="102" spans="2:33" ht="15" customHeight="1" x14ac:dyDescent="0.15">
      <c r="B102" s="174" t="s">
        <v>5</v>
      </c>
      <c r="C102" s="175" t="s">
        <v>15</v>
      </c>
      <c r="D102" s="176" t="str">
        <f t="shared" si="38"/>
        <v>C</v>
      </c>
      <c r="E102" s="177" t="d">
        <v>2021-04-16T15:14:59.99999979045242400</v>
      </c>
      <c r="F102" s="178" t="s">
        <v>81</v>
      </c>
      <c r="G102" s="179">
        <v>14073.66</v>
      </c>
      <c r="H102" s="179">
        <v>14022.71</v>
      </c>
      <c r="I102" s="180">
        <f t="shared" si="39"/>
        <v>50.950000000000728</v>
      </c>
      <c r="J102" s="179">
        <v>14379.34</v>
      </c>
      <c r="K102" s="177" t="d">
        <v>2021-04-16T16:35:59.99999991618096825</v>
      </c>
      <c r="L102" s="179">
        <v>14022.71</v>
      </c>
      <c r="M102" s="181">
        <f t="shared" si="40"/>
        <v>-50.95</v>
      </c>
      <c r="N102" s="182">
        <f t="shared" si="41"/>
        <v>-1</v>
      </c>
      <c r="O102" s="183">
        <f t="shared" si="42"/>
        <v>0</v>
      </c>
      <c r="P102" s="184">
        <f t="shared" si="43"/>
        <v>0</v>
      </c>
      <c r="Q102" s="184">
        <f t="shared" si="44"/>
        <v>-1</v>
      </c>
      <c r="R10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26890</v>
      </c>
      <c r="T10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27140</v>
      </c>
      <c r="U102" s="186">
        <f ca="1">IF(Tabla336106734811[[#This Row],[Equity]]&lt;Tabla336106734811[[#This Row],[Equity Peak]],(Tabla336106734811[[#This Row],[Equity Peak]]-Tabla336106734811[[#This Row],[Equity]])/Tabla336106734811[[#This Row],[Equity Peak]],"")</f>
        <v>9.2114959469417838E-3</v>
      </c>
      <c r="V102" s="187">
        <f t="shared" si="45"/>
        <v>0</v>
      </c>
      <c r="W102" s="187">
        <f t="shared" si="46"/>
        <v>0</v>
      </c>
      <c r="X102" s="187">
        <f t="shared" si="47"/>
        <v>0</v>
      </c>
      <c r="Y102" s="187">
        <f t="shared" si="48"/>
        <v>0</v>
      </c>
      <c r="Z102" s="187">
        <f t="shared" si="49"/>
        <v>-1</v>
      </c>
      <c r="AA102" s="183">
        <f t="shared" si="50"/>
        <v>0</v>
      </c>
      <c r="AB102" s="187">
        <f t="shared" si="51"/>
        <v>0</v>
      </c>
      <c r="AC102" s="183">
        <f t="shared" si="52"/>
        <v>0</v>
      </c>
      <c r="AD102" s="188">
        <f t="shared" si="53"/>
        <v>5.6250000001455192E-2</v>
      </c>
      <c r="AE102" s="188">
        <f t="shared" si="54"/>
        <v>0</v>
      </c>
      <c r="AF102" s="188">
        <f t="shared" si="55"/>
        <v>5.6250000001455192E-2</v>
      </c>
      <c r="AG102" s="188">
        <f t="shared" si="56"/>
        <v>0</v>
      </c>
    </row>
    <row r="103" spans="2:33" ht="15" customHeight="1" x14ac:dyDescent="0.15">
      <c r="B103" s="174" t="s">
        <v>5</v>
      </c>
      <c r="C103" s="175" t="s">
        <v>15</v>
      </c>
      <c r="D103" s="176" t="str">
        <f t="shared" si="38"/>
        <v>C</v>
      </c>
      <c r="E103" s="177" t="d">
        <v>2021-04-13T15:45:00.000</v>
      </c>
      <c r="F103" s="178" t="s">
        <v>81</v>
      </c>
      <c r="G103" s="179">
        <v>13896.25</v>
      </c>
      <c r="H103" s="179">
        <v>13845.93</v>
      </c>
      <c r="I103" s="180">
        <f t="shared" si="39"/>
        <v>50.319999999999709</v>
      </c>
      <c r="J103" s="179">
        <v>14198.19</v>
      </c>
      <c r="K103" s="177" t="d">
        <v>2021-04-14T16:31:00.00000019557774075</v>
      </c>
      <c r="L103" s="179">
        <v>13996.9</v>
      </c>
      <c r="M103" s="181">
        <f t="shared" si="40"/>
        <v>100.65</v>
      </c>
      <c r="N103" s="182">
        <f t="shared" si="41"/>
        <v>2</v>
      </c>
      <c r="O103" s="183">
        <f t="shared" si="42"/>
        <v>0</v>
      </c>
      <c r="P103" s="184">
        <f t="shared" si="43"/>
        <v>2</v>
      </c>
      <c r="Q103" s="184">
        <f t="shared" si="44"/>
        <v>0</v>
      </c>
      <c r="R10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27140</v>
      </c>
      <c r="T10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27140</v>
      </c>
      <c r="U103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03" s="187">
        <f t="shared" si="45"/>
        <v>0</v>
      </c>
      <c r="W103" s="187">
        <f t="shared" si="46"/>
        <v>0</v>
      </c>
      <c r="X103" s="187">
        <f t="shared" si="47"/>
        <v>0</v>
      </c>
      <c r="Y103" s="187">
        <f t="shared" si="48"/>
        <v>0</v>
      </c>
      <c r="Z103" s="187">
        <f t="shared" si="49"/>
        <v>2</v>
      </c>
      <c r="AA103" s="183">
        <f t="shared" si="50"/>
        <v>0</v>
      </c>
      <c r="AB103" s="187">
        <f t="shared" si="51"/>
        <v>0</v>
      </c>
      <c r="AC103" s="183">
        <f t="shared" si="52"/>
        <v>0</v>
      </c>
      <c r="AD103" s="188">
        <f t="shared" si="53"/>
        <v>1.0319444444467081</v>
      </c>
      <c r="AE103" s="188">
        <f t="shared" si="54"/>
        <v>1.0319444444467081</v>
      </c>
      <c r="AF103" s="188">
        <f t="shared" si="55"/>
        <v>0</v>
      </c>
      <c r="AG103" s="188">
        <f t="shared" si="56"/>
        <v>0</v>
      </c>
    </row>
    <row r="104" spans="2:33" ht="15" customHeight="1" x14ac:dyDescent="0.15">
      <c r="B104" s="174" t="s">
        <v>5</v>
      </c>
      <c r="C104" s="175" t="s">
        <v>15</v>
      </c>
      <c r="D104" s="176" t="str">
        <f t="shared" si="38"/>
        <v>C</v>
      </c>
      <c r="E104" s="177" t="d">
        <v>2021-04-08T04:44:59.99999979045242400</v>
      </c>
      <c r="F104" s="178" t="s">
        <v>81</v>
      </c>
      <c r="G104" s="179">
        <v>13681.67</v>
      </c>
      <c r="H104" s="179">
        <v>13631.11</v>
      </c>
      <c r="I104" s="180">
        <f t="shared" si="39"/>
        <v>50.559999999999491</v>
      </c>
      <c r="J104" s="179">
        <v>13985.01</v>
      </c>
      <c r="K104" s="177" t="d">
        <v>2021-04-08T17:09:00.00000008381903175</v>
      </c>
      <c r="L104" s="179">
        <v>13714.97</v>
      </c>
      <c r="M104" s="181">
        <f t="shared" si="40"/>
        <v>33.299999999999997</v>
      </c>
      <c r="N104" s="182">
        <f t="shared" si="41"/>
        <v>0.66</v>
      </c>
      <c r="O104" s="183">
        <f t="shared" si="42"/>
        <v>0</v>
      </c>
      <c r="P104" s="184">
        <f t="shared" si="43"/>
        <v>0.66</v>
      </c>
      <c r="Q104" s="184">
        <f t="shared" si="44"/>
        <v>0</v>
      </c>
      <c r="R10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26640</v>
      </c>
      <c r="T10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04" s="186">
        <f ca="1">IF(Tabla336106734811[[#This Row],[Equity]]&lt;Tabla336106734811[[#This Row],[Equity Peak]],(Tabla336106734811[[#This Row],[Equity Peak]]-Tabla336106734811[[#This Row],[Equity]])/Tabla336106734811[[#This Row],[Equity Peak]],"")</f>
        <v>6.9890970086664804E-3</v>
      </c>
      <c r="V104" s="187">
        <f t="shared" si="45"/>
        <v>0</v>
      </c>
      <c r="W104" s="187">
        <f t="shared" si="46"/>
        <v>0</v>
      </c>
      <c r="X104" s="187">
        <f t="shared" si="47"/>
        <v>0</v>
      </c>
      <c r="Y104" s="187">
        <f t="shared" si="48"/>
        <v>0</v>
      </c>
      <c r="Z104" s="187">
        <f t="shared" si="49"/>
        <v>0.66</v>
      </c>
      <c r="AA104" s="183">
        <f t="shared" si="50"/>
        <v>0</v>
      </c>
      <c r="AB104" s="187">
        <f t="shared" si="51"/>
        <v>0</v>
      </c>
      <c r="AC104" s="183">
        <f t="shared" si="52"/>
        <v>0</v>
      </c>
      <c r="AD104" s="188">
        <f t="shared" si="53"/>
        <v>0.51666666667006211</v>
      </c>
      <c r="AE104" s="188">
        <f t="shared" si="54"/>
        <v>0.51666666667006211</v>
      </c>
      <c r="AF104" s="188">
        <f t="shared" si="55"/>
        <v>0</v>
      </c>
      <c r="AG104" s="188">
        <f t="shared" si="56"/>
        <v>0</v>
      </c>
    </row>
    <row r="105" spans="2:33" ht="15" customHeight="1" x14ac:dyDescent="0.15">
      <c r="B105" s="174" t="s">
        <v>5</v>
      </c>
      <c r="C105" s="175" t="s">
        <v>15</v>
      </c>
      <c r="D105" s="176" t="str">
        <f t="shared" si="38"/>
        <v>C</v>
      </c>
      <c r="E105" s="177" t="d">
        <v>2021-03-31T16:44:59.99999979045242400</v>
      </c>
      <c r="F105" s="178" t="s">
        <v>81</v>
      </c>
      <c r="G105" s="179">
        <v>13020.16</v>
      </c>
      <c r="H105" s="179">
        <v>12950.35</v>
      </c>
      <c r="I105" s="180">
        <f t="shared" si="39"/>
        <v>69.809999999999491</v>
      </c>
      <c r="J105" s="179">
        <v>13439.05</v>
      </c>
      <c r="K105" s="177" t="d">
        <v>2021-03-31T22:54:00.00000029336660775</v>
      </c>
      <c r="L105" s="179">
        <v>13100.42</v>
      </c>
      <c r="M105" s="181">
        <f t="shared" si="40"/>
        <v>80.260000000000005</v>
      </c>
      <c r="N105" s="182">
        <f t="shared" si="41"/>
        <v>1.1499999999999999</v>
      </c>
      <c r="O105" s="183">
        <f t="shared" si="42"/>
        <v>0</v>
      </c>
      <c r="P105" s="184">
        <f t="shared" si="43"/>
        <v>1.1499999999999999</v>
      </c>
      <c r="Q105" s="184">
        <f t="shared" si="44"/>
        <v>0</v>
      </c>
      <c r="R10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26475</v>
      </c>
      <c r="T10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05" s="186">
        <f ca="1">IF(Tabla336106734811[[#This Row],[Equity]]&lt;Tabla336106734811[[#This Row],[Equity Peak]],(Tabla336106734811[[#This Row],[Equity Peak]]-Tabla336106734811[[#This Row],[Equity]])/Tabla336106734811[[#This Row],[Equity Peak]],"")</f>
        <v>1.3139502376292984E-2</v>
      </c>
      <c r="V105" s="187">
        <f t="shared" si="45"/>
        <v>0</v>
      </c>
      <c r="W105" s="187">
        <f t="shared" si="46"/>
        <v>0</v>
      </c>
      <c r="X105" s="187">
        <f t="shared" si="47"/>
        <v>0</v>
      </c>
      <c r="Y105" s="187">
        <f t="shared" si="48"/>
        <v>0</v>
      </c>
      <c r="Z105" s="187">
        <f t="shared" si="49"/>
        <v>1.1499999999999999</v>
      </c>
      <c r="AA105" s="183">
        <f t="shared" si="50"/>
        <v>0</v>
      </c>
      <c r="AB105" s="187">
        <f t="shared" si="51"/>
        <v>0</v>
      </c>
      <c r="AC105" s="183">
        <f t="shared" si="52"/>
        <v>0</v>
      </c>
      <c r="AD105" s="188">
        <f t="shared" si="53"/>
        <v>0.25625000000582077</v>
      </c>
      <c r="AE105" s="188">
        <f t="shared" si="54"/>
        <v>0.25625000000582077</v>
      </c>
      <c r="AF105" s="188">
        <f t="shared" si="55"/>
        <v>0</v>
      </c>
      <c r="AG105" s="188">
        <f t="shared" si="56"/>
        <v>0</v>
      </c>
    </row>
    <row r="106" spans="2:33" ht="15" customHeight="1" x14ac:dyDescent="0.15">
      <c r="B106" s="174" t="s">
        <v>5</v>
      </c>
      <c r="C106" s="175" t="s">
        <v>15</v>
      </c>
      <c r="D106" s="176" t="str">
        <f t="shared" si="38"/>
        <v>C</v>
      </c>
      <c r="E106" s="177" t="d">
        <v>2021-03-29T20:15:00.000</v>
      </c>
      <c r="F106" s="178" t="s">
        <v>81</v>
      </c>
      <c r="G106" s="179">
        <v>13009.01</v>
      </c>
      <c r="H106" s="179">
        <v>12917.95</v>
      </c>
      <c r="I106" s="180">
        <f t="shared" si="39"/>
        <v>91.059999999999491</v>
      </c>
      <c r="J106" s="179">
        <v>13555.38</v>
      </c>
      <c r="K106" s="177" t="d">
        <v>2021-03-29T21:39:00.00000008381903175</v>
      </c>
      <c r="L106" s="179">
        <v>12917.95</v>
      </c>
      <c r="M106" s="181">
        <f t="shared" si="40"/>
        <v>-91.06</v>
      </c>
      <c r="N106" s="182">
        <f t="shared" si="41"/>
        <v>-1</v>
      </c>
      <c r="O106" s="183">
        <f t="shared" si="42"/>
        <v>0</v>
      </c>
      <c r="P106" s="184">
        <f t="shared" si="43"/>
        <v>0</v>
      </c>
      <c r="Q106" s="184">
        <f t="shared" si="44"/>
        <v>-1</v>
      </c>
      <c r="R10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26187.5</v>
      </c>
      <c r="T10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06" s="186">
        <f ca="1">IF(Tabla336106734811[[#This Row],[Equity]]&lt;Tabla336106734811[[#This Row],[Equity Peak]],(Tabla336106734811[[#This Row],[Equity Peak]]-Tabla336106734811[[#This Row],[Equity]])/Tabla336106734811[[#This Row],[Equity Peak]],"")</f>
        <v>2.3856117789581587E-2</v>
      </c>
      <c r="V106" s="187">
        <f t="shared" si="45"/>
        <v>0</v>
      </c>
      <c r="W106" s="187">
        <f t="shared" si="46"/>
        <v>0</v>
      </c>
      <c r="X106" s="187">
        <f t="shared" si="47"/>
        <v>0</v>
      </c>
      <c r="Y106" s="187">
        <f t="shared" si="48"/>
        <v>0</v>
      </c>
      <c r="Z106" s="187">
        <f t="shared" si="49"/>
        <v>-1</v>
      </c>
      <c r="AA106" s="183">
        <f t="shared" si="50"/>
        <v>0</v>
      </c>
      <c r="AB106" s="187">
        <f t="shared" si="51"/>
        <v>0</v>
      </c>
      <c r="AC106" s="183">
        <f t="shared" si="52"/>
        <v>0</v>
      </c>
      <c r="AD106" s="188">
        <f t="shared" si="53"/>
        <v>5.8333333334303461E-2</v>
      </c>
      <c r="AE106" s="188">
        <f t="shared" si="54"/>
        <v>0</v>
      </c>
      <c r="AF106" s="188">
        <f t="shared" si="55"/>
        <v>5.8333333334303461E-2</v>
      </c>
      <c r="AG106" s="188">
        <f t="shared" si="56"/>
        <v>0</v>
      </c>
    </row>
    <row r="107" spans="2:33" ht="15" customHeight="1" x14ac:dyDescent="0.15">
      <c r="B107" s="174" t="s">
        <v>5</v>
      </c>
      <c r="C107" s="175" t="s">
        <v>15</v>
      </c>
      <c r="D107" s="176" t="str">
        <f t="shared" si="38"/>
        <v>C</v>
      </c>
      <c r="E107" s="177" t="d">
        <v>2021-03-26T23:00:00.00000020954757600</v>
      </c>
      <c r="F107" s="178" t="s">
        <v>81</v>
      </c>
      <c r="G107" s="179">
        <v>12981.07</v>
      </c>
      <c r="H107" s="179">
        <v>12891.91</v>
      </c>
      <c r="I107" s="180">
        <f t="shared" si="39"/>
        <v>89.159999999999854</v>
      </c>
      <c r="J107" s="179">
        <v>13516</v>
      </c>
      <c r="K107" s="177" t="d">
        <v>2021-03-29T03:53:59.99999987427145575</v>
      </c>
      <c r="L107" s="179">
        <v>12891.91</v>
      </c>
      <c r="M107" s="181">
        <f t="shared" si="40"/>
        <v>-89.16</v>
      </c>
      <c r="N107" s="182">
        <f t="shared" si="41"/>
        <v>-1</v>
      </c>
      <c r="O107" s="183">
        <f t="shared" si="42"/>
        <v>0</v>
      </c>
      <c r="P107" s="184">
        <f t="shared" si="43"/>
        <v>0</v>
      </c>
      <c r="Q107" s="184">
        <f t="shared" si="44"/>
        <v>-1</v>
      </c>
      <c r="R10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26437.5</v>
      </c>
      <c r="T10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07" s="186">
        <f ca="1">IF(Tabla336106734811[[#This Row],[Equity]]&lt;Tabla336106734811[[#This Row],[Equity Peak]],(Tabla336106734811[[#This Row],[Equity Peak]]-Tabla336106734811[[#This Row],[Equity]])/Tabla336106734811[[#This Row],[Equity Peak]],"")</f>
        <v>1.4537321778026279E-2</v>
      </c>
      <c r="V107" s="187">
        <f t="shared" si="45"/>
        <v>0</v>
      </c>
      <c r="W107" s="187">
        <f t="shared" si="46"/>
        <v>0</v>
      </c>
      <c r="X107" s="187">
        <f t="shared" si="47"/>
        <v>0</v>
      </c>
      <c r="Y107" s="187">
        <f t="shared" si="48"/>
        <v>0</v>
      </c>
      <c r="Z107" s="187">
        <f t="shared" si="49"/>
        <v>-1</v>
      </c>
      <c r="AA107" s="183">
        <f t="shared" si="50"/>
        <v>0</v>
      </c>
      <c r="AB107" s="187">
        <f t="shared" si="51"/>
        <v>0</v>
      </c>
      <c r="AC107" s="183">
        <f t="shared" si="52"/>
        <v>0</v>
      </c>
      <c r="AD107" s="188">
        <f t="shared" si="53"/>
        <v>2.2041666666627862</v>
      </c>
      <c r="AE107" s="188">
        <f t="shared" si="54"/>
        <v>0</v>
      </c>
      <c r="AF107" s="188">
        <f t="shared" si="55"/>
        <v>2.2041666666627862</v>
      </c>
      <c r="AG107" s="188">
        <f t="shared" si="56"/>
        <v>0</v>
      </c>
    </row>
    <row r="108" spans="2:33" ht="15" customHeight="1" x14ac:dyDescent="0.15">
      <c r="B108" s="174" t="s">
        <v>5</v>
      </c>
      <c r="C108" s="175" t="s">
        <v>13</v>
      </c>
      <c r="D108" s="176" t="str">
        <f t="shared" si="38"/>
        <v>C</v>
      </c>
      <c r="E108" s="177" t="d">
        <v>2021-03-24T20:15:00.000</v>
      </c>
      <c r="F108" s="178" t="s">
        <v>81</v>
      </c>
      <c r="G108" s="179">
        <v>12900.68</v>
      </c>
      <c r="H108" s="179">
        <v>12971.76</v>
      </c>
      <c r="I108" s="180">
        <f t="shared" si="39"/>
        <v>71.079999999999927</v>
      </c>
      <c r="J108" s="179">
        <v>12474.22</v>
      </c>
      <c r="K108" s="177" t="d">
        <v>2021-03-25T16:38:59.99999987427145575</v>
      </c>
      <c r="L108" s="179">
        <v>12800.68</v>
      </c>
      <c r="M108" s="181">
        <f t="shared" si="40"/>
        <v>100</v>
      </c>
      <c r="N108" s="182">
        <f t="shared" si="41"/>
        <v>1.41</v>
      </c>
      <c r="O108" s="183">
        <f t="shared" si="42"/>
        <v>0</v>
      </c>
      <c r="P108" s="184">
        <f t="shared" si="43"/>
        <v>1.41</v>
      </c>
      <c r="Q108" s="184">
        <f t="shared" si="44"/>
        <v>0</v>
      </c>
      <c r="R10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26687.5</v>
      </c>
      <c r="T10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08" s="186">
        <f ca="1">IF(Tabla336106734811[[#This Row],[Equity]]&lt;Tabla336106734811[[#This Row],[Equity Peak]],(Tabla336106734811[[#This Row],[Equity Peak]]-Tabla336106734811[[#This Row],[Equity]])/Tabla336106734811[[#This Row],[Equity Peak]],"")</f>
        <v>5.2185257664709717E-3</v>
      </c>
      <c r="V108" s="187">
        <f t="shared" si="45"/>
        <v>0</v>
      </c>
      <c r="W108" s="187">
        <f t="shared" si="46"/>
        <v>0</v>
      </c>
      <c r="X108" s="187">
        <f t="shared" si="47"/>
        <v>0</v>
      </c>
      <c r="Y108" s="187">
        <f t="shared" si="48"/>
        <v>0</v>
      </c>
      <c r="Z108" s="187">
        <f t="shared" si="49"/>
        <v>1.41</v>
      </c>
      <c r="AA108" s="183">
        <f t="shared" si="50"/>
        <v>0</v>
      </c>
      <c r="AB108" s="187">
        <f t="shared" si="51"/>
        <v>0</v>
      </c>
      <c r="AC108" s="183">
        <f t="shared" si="52"/>
        <v>0</v>
      </c>
      <c r="AD108" s="188">
        <f t="shared" si="53"/>
        <v>0.84999999999854481</v>
      </c>
      <c r="AE108" s="188">
        <f t="shared" si="54"/>
        <v>0.84999999999854481</v>
      </c>
      <c r="AF108" s="188">
        <f t="shared" si="55"/>
        <v>0</v>
      </c>
      <c r="AG108" s="188">
        <f t="shared" si="56"/>
        <v>0</v>
      </c>
    </row>
    <row r="109" spans="2:33" ht="15" customHeight="1" x14ac:dyDescent="0.15">
      <c r="B109" s="174" t="s">
        <v>5</v>
      </c>
      <c r="C109" s="175" t="s">
        <v>13</v>
      </c>
      <c r="D109" s="176" t="str">
        <f t="shared" si="38"/>
        <v>C</v>
      </c>
      <c r="E109" s="177" t="d">
        <v>2021-03-24T17:00:00.00000020954757600</v>
      </c>
      <c r="F109" s="178" t="s">
        <v>81</v>
      </c>
      <c r="G109" s="179">
        <v>12973.93</v>
      </c>
      <c r="H109" s="179">
        <v>13042.29</v>
      </c>
      <c r="I109" s="180">
        <f t="shared" si="39"/>
        <v>68.360000000000582</v>
      </c>
      <c r="J109" s="179">
        <v>12563.76</v>
      </c>
      <c r="K109" s="177" t="d">
        <v>2021-03-24T18:07:00.00000011175870900</v>
      </c>
      <c r="L109" s="179">
        <v>13042.29</v>
      </c>
      <c r="M109" s="181">
        <f t="shared" si="40"/>
        <v>-68.36</v>
      </c>
      <c r="N109" s="182">
        <f t="shared" si="41"/>
        <v>-1</v>
      </c>
      <c r="O109" s="183">
        <f t="shared" si="42"/>
        <v>0</v>
      </c>
      <c r="P109" s="184">
        <f t="shared" si="43"/>
        <v>0</v>
      </c>
      <c r="Q109" s="184">
        <f t="shared" si="44"/>
        <v>-1</v>
      </c>
      <c r="R10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0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26335</v>
      </c>
      <c r="T10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09" s="186">
        <f ca="1">IF(Tabla336106734811[[#This Row],[Equity]]&lt;Tabla336106734811[[#This Row],[Equity Peak]],(Tabla336106734811[[#This Row],[Equity Peak]]-Tabla336106734811[[#This Row],[Equity]])/Tabla336106734811[[#This Row],[Equity Peak]],"")</f>
        <v>1.8358028142763955E-2</v>
      </c>
      <c r="V109" s="187">
        <f t="shared" si="45"/>
        <v>0</v>
      </c>
      <c r="W109" s="187">
        <f t="shared" si="46"/>
        <v>0</v>
      </c>
      <c r="X109" s="187">
        <f t="shared" si="47"/>
        <v>0</v>
      </c>
      <c r="Y109" s="187">
        <f t="shared" si="48"/>
        <v>0</v>
      </c>
      <c r="Z109" s="187">
        <f t="shared" si="49"/>
        <v>-1</v>
      </c>
      <c r="AA109" s="183">
        <f t="shared" si="50"/>
        <v>0</v>
      </c>
      <c r="AB109" s="187">
        <f t="shared" si="51"/>
        <v>0</v>
      </c>
      <c r="AC109" s="183">
        <f t="shared" si="52"/>
        <v>0</v>
      </c>
      <c r="AD109" s="188">
        <f t="shared" si="53"/>
        <v>4.6527777776645962E-2</v>
      </c>
      <c r="AE109" s="188">
        <f t="shared" si="54"/>
        <v>0</v>
      </c>
      <c r="AF109" s="188">
        <f t="shared" si="55"/>
        <v>4.6527777776645962E-2</v>
      </c>
      <c r="AG109" s="188">
        <f t="shared" si="56"/>
        <v>0</v>
      </c>
    </row>
    <row r="110" spans="2:33" ht="15" customHeight="1" x14ac:dyDescent="0.15">
      <c r="B110" s="174" t="s">
        <v>5</v>
      </c>
      <c r="C110" s="175" t="s">
        <v>15</v>
      </c>
      <c r="D110" s="176" t="str">
        <f t="shared" si="38"/>
        <v>C</v>
      </c>
      <c r="E110" s="177" t="d">
        <v>2021-03-22T17:00:00.00000020954757600</v>
      </c>
      <c r="F110" s="178" t="s">
        <v>81</v>
      </c>
      <c r="G110" s="179">
        <v>13026.88</v>
      </c>
      <c r="H110" s="179">
        <v>12936.5</v>
      </c>
      <c r="I110" s="180">
        <f t="shared" si="39"/>
        <v>90.3799999999992</v>
      </c>
      <c r="J110" s="179">
        <v>13569.16</v>
      </c>
      <c r="K110" s="177" t="d">
        <v>2021-03-22T22:54:00.00000029336660775</v>
      </c>
      <c r="L110" s="179">
        <v>13085.71</v>
      </c>
      <c r="M110" s="181">
        <f t="shared" si="40"/>
        <v>58.83</v>
      </c>
      <c r="N110" s="182">
        <f t="shared" si="41"/>
        <v>0.65</v>
      </c>
      <c r="O110" s="183">
        <f t="shared" si="42"/>
        <v>0</v>
      </c>
      <c r="P110" s="184">
        <f t="shared" si="43"/>
        <v>0.65</v>
      </c>
      <c r="Q110" s="184">
        <f t="shared" si="44"/>
        <v>0</v>
      </c>
      <c r="R11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26585</v>
      </c>
      <c r="T11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10" s="186">
        <f ca="1">IF(Tabla336106734811[[#This Row],[Equity]]&lt;Tabla336106734811[[#This Row],[Equity Peak]],(Tabla336106734811[[#This Row],[Equity Peak]]-Tabla336106734811[[#This Row],[Equity]])/Tabla336106734811[[#This Row],[Equity Peak]],"")</f>
        <v>9.0392321312086476E-3</v>
      </c>
      <c r="V110" s="187">
        <f t="shared" si="45"/>
        <v>0</v>
      </c>
      <c r="W110" s="187">
        <f t="shared" si="46"/>
        <v>0</v>
      </c>
      <c r="X110" s="187">
        <f t="shared" si="47"/>
        <v>0</v>
      </c>
      <c r="Y110" s="187">
        <f t="shared" si="48"/>
        <v>0</v>
      </c>
      <c r="Z110" s="187">
        <f t="shared" si="49"/>
        <v>0.65</v>
      </c>
      <c r="AA110" s="183">
        <f t="shared" si="50"/>
        <v>0</v>
      </c>
      <c r="AB110" s="187">
        <f t="shared" si="51"/>
        <v>0</v>
      </c>
      <c r="AC110" s="183">
        <f t="shared" si="52"/>
        <v>0</v>
      </c>
      <c r="AD110" s="188">
        <f t="shared" si="53"/>
        <v>0.24583333333430346</v>
      </c>
      <c r="AE110" s="188">
        <f t="shared" si="54"/>
        <v>0.24583333333430346</v>
      </c>
      <c r="AF110" s="188">
        <f t="shared" si="55"/>
        <v>0</v>
      </c>
      <c r="AG110" s="188">
        <f t="shared" si="56"/>
        <v>0</v>
      </c>
    </row>
    <row r="111" spans="2:33" ht="15" customHeight="1" x14ac:dyDescent="0.15">
      <c r="B111" s="174" t="s">
        <v>5</v>
      </c>
      <c r="C111" s="175" t="s">
        <v>13</v>
      </c>
      <c r="D111" s="176" t="str">
        <f t="shared" si="38"/>
        <v>C</v>
      </c>
      <c r="E111" s="177" t="d">
        <v>2021-03-18T20:00:00.00000020954757600</v>
      </c>
      <c r="F111" s="178" t="s">
        <v>81</v>
      </c>
      <c r="G111" s="179">
        <v>12919.33</v>
      </c>
      <c r="H111" s="179">
        <v>13006.71</v>
      </c>
      <c r="I111" s="180">
        <f t="shared" si="39"/>
        <v>87.3799999999992</v>
      </c>
      <c r="J111" s="179">
        <v>12395.08</v>
      </c>
      <c r="K111" s="177" t="d">
        <v>2021-03-19T09:53:59.99999987427145575</v>
      </c>
      <c r="L111" s="179">
        <v>12828.67</v>
      </c>
      <c r="M111" s="181">
        <f t="shared" si="40"/>
        <v>90.66</v>
      </c>
      <c r="N111" s="182">
        <f t="shared" si="41"/>
        <v>1.04</v>
      </c>
      <c r="O111" s="183">
        <f t="shared" si="42"/>
        <v>0</v>
      </c>
      <c r="P111" s="184">
        <f t="shared" si="43"/>
        <v>1.04</v>
      </c>
      <c r="Q111" s="184">
        <f t="shared" si="44"/>
        <v>0</v>
      </c>
      <c r="R11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26422.5</v>
      </c>
      <c r="T11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11" s="186">
        <f ca="1">IF(Tabla336106734811[[#This Row],[Equity]]&lt;Tabla336106734811[[#This Row],[Equity Peak]],(Tabla336106734811[[#This Row],[Equity Peak]]-Tabla336106734811[[#This Row],[Equity]])/Tabla336106734811[[#This Row],[Equity Peak]],"")</f>
        <v>1.5096449538719598E-2</v>
      </c>
      <c r="V111" s="187">
        <f t="shared" si="45"/>
        <v>0</v>
      </c>
      <c r="W111" s="187">
        <f t="shared" si="46"/>
        <v>0</v>
      </c>
      <c r="X111" s="187">
        <f t="shared" si="47"/>
        <v>0</v>
      </c>
      <c r="Y111" s="187">
        <f t="shared" si="48"/>
        <v>0</v>
      </c>
      <c r="Z111" s="187">
        <f t="shared" si="49"/>
        <v>1.04</v>
      </c>
      <c r="AA111" s="183">
        <f t="shared" si="50"/>
        <v>0</v>
      </c>
      <c r="AB111" s="187">
        <f t="shared" si="51"/>
        <v>0</v>
      </c>
      <c r="AC111" s="183">
        <f t="shared" si="52"/>
        <v>0</v>
      </c>
      <c r="AD111" s="188">
        <f t="shared" si="53"/>
        <v>0.57916666666278616</v>
      </c>
      <c r="AE111" s="188">
        <f t="shared" si="54"/>
        <v>0.57916666666278616</v>
      </c>
      <c r="AF111" s="188">
        <f t="shared" si="55"/>
        <v>0</v>
      </c>
      <c r="AG111" s="188">
        <f t="shared" si="56"/>
        <v>0</v>
      </c>
    </row>
    <row r="112" spans="2:33" ht="15" customHeight="1" x14ac:dyDescent="0.15">
      <c r="B112" s="174" t="s">
        <v>5</v>
      </c>
      <c r="C112" s="175" t="s">
        <v>15</v>
      </c>
      <c r="D112" s="176" t="str">
        <f t="shared" si="38"/>
        <v>C</v>
      </c>
      <c r="E112" s="177" t="d">
        <v>2021-03-15T23:00:00.00000020954757600</v>
      </c>
      <c r="F112" s="178" t="s">
        <v>81</v>
      </c>
      <c r="G112" s="179">
        <v>13080.13</v>
      </c>
      <c r="H112" s="179">
        <v>12999.24</v>
      </c>
      <c r="I112" s="180">
        <f t="shared" si="39"/>
        <v>80.889999999999418</v>
      </c>
      <c r="J112" s="179">
        <v>13565.48</v>
      </c>
      <c r="K112" s="177" t="d">
        <v>2021-03-16T19:21:00.00000012572854425</v>
      </c>
      <c r="L112" s="179">
        <v>13212.26</v>
      </c>
      <c r="M112" s="181">
        <f t="shared" si="40"/>
        <v>132.13</v>
      </c>
      <c r="N112" s="182">
        <f t="shared" si="41"/>
        <v>1.63</v>
      </c>
      <c r="O112" s="183">
        <f t="shared" si="42"/>
        <v>0</v>
      </c>
      <c r="P112" s="184">
        <f t="shared" si="43"/>
        <v>1.63</v>
      </c>
      <c r="Q112" s="184">
        <f t="shared" si="44"/>
        <v>0</v>
      </c>
      <c r="R11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26162.5</v>
      </c>
      <c r="T11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12" s="186">
        <f ca="1">IF(Tabla336106734811[[#This Row],[Equity]]&lt;Tabla336106734811[[#This Row],[Equity Peak]],(Tabla336106734811[[#This Row],[Equity Peak]]-Tabla336106734811[[#This Row],[Equity]])/Tabla336106734811[[#This Row],[Equity Peak]],"")</f>
        <v>2.4787997390737115E-2</v>
      </c>
      <c r="V112" s="187">
        <f t="shared" si="45"/>
        <v>0</v>
      </c>
      <c r="W112" s="187">
        <f t="shared" si="46"/>
        <v>0</v>
      </c>
      <c r="X112" s="187">
        <f t="shared" si="47"/>
        <v>0</v>
      </c>
      <c r="Y112" s="187">
        <f t="shared" si="48"/>
        <v>0</v>
      </c>
      <c r="Z112" s="187">
        <f t="shared" si="49"/>
        <v>1.63</v>
      </c>
      <c r="AA112" s="183">
        <f t="shared" si="50"/>
        <v>0</v>
      </c>
      <c r="AB112" s="187">
        <f t="shared" si="51"/>
        <v>0</v>
      </c>
      <c r="AC112" s="183">
        <f t="shared" si="52"/>
        <v>0</v>
      </c>
      <c r="AD112" s="188">
        <f t="shared" si="53"/>
        <v>0.84791666666569654</v>
      </c>
      <c r="AE112" s="188">
        <f t="shared" si="54"/>
        <v>0.84791666666569654</v>
      </c>
      <c r="AF112" s="188">
        <f t="shared" si="55"/>
        <v>0</v>
      </c>
      <c r="AG112" s="188">
        <f t="shared" si="56"/>
        <v>0</v>
      </c>
    </row>
    <row r="113" spans="2:33" ht="15" customHeight="1" x14ac:dyDescent="0.15">
      <c r="B113" s="174" t="s">
        <v>5</v>
      </c>
      <c r="C113" s="175" t="s">
        <v>15</v>
      </c>
      <c r="D113" s="176" t="str">
        <f t="shared" ref="D113:D139" si="57">IF(E113&lt;&gt;"",IF(K113&lt;&gt;"","C","O"),"")</f>
        <v>C</v>
      </c>
      <c r="E113" s="177" t="d">
        <v>2021-03-11T18:00:00.000</v>
      </c>
      <c r="F113" s="178" t="s">
        <v>81</v>
      </c>
      <c r="G113" s="179">
        <v>13026.42</v>
      </c>
      <c r="H113" s="179">
        <v>12923.77</v>
      </c>
      <c r="I113" s="180">
        <f t="shared" ref="I113:I139" si="58">ABS(G113-H113)</f>
        <v>102.64999999999964</v>
      </c>
      <c r="J113" s="179">
        <v>13642.33</v>
      </c>
      <c r="K113" s="177" t="d">
        <v>2021-03-12T09:07:00.00000011175870900</v>
      </c>
      <c r="L113" s="179">
        <v>12948.01</v>
      </c>
      <c r="M113" s="181">
        <f t="shared" ref="M113:M139" si="59">ROUND(IF(C113="L",(L113-G113),(G113-L113)),4)</f>
        <v>-78.41</v>
      </c>
      <c r="N113" s="182">
        <f t="shared" ref="N113:N139" si="60">IFERROR(ROUND((M113/I113),2),"")</f>
        <v>-0.76</v>
      </c>
      <c r="O113" s="183">
        <f t="shared" ref="O113:O139" si="61">IF(D113="O",IF(N113&lt;0,N113,0),0)</f>
        <v>0</v>
      </c>
      <c r="P113" s="184">
        <f t="shared" ref="P113:P139" si="62">IF(N113&gt;= 0,N113,0)</f>
        <v>0</v>
      </c>
      <c r="Q113" s="184">
        <f t="shared" ref="Q113:Q139" si="63">IF(N113&lt;0,N113,0)</f>
        <v>-0.76</v>
      </c>
      <c r="R11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25755</v>
      </c>
      <c r="T11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13" s="186">
        <f ca="1">IF(Tabla336106734811[[#This Row],[Equity]]&lt;Tabla336106734811[[#This Row],[Equity Peak]],(Tabla336106734811[[#This Row],[Equity Peak]]-Tabla336106734811[[#This Row],[Equity]])/Tabla336106734811[[#This Row],[Equity Peak]],"")</f>
        <v>3.9977634889572268E-2</v>
      </c>
      <c r="V113" s="187">
        <f t="shared" ref="V113:V139" si="64">IF(B113="FX",N113,0)</f>
        <v>0</v>
      </c>
      <c r="W113" s="187">
        <f t="shared" ref="W113:W139" si="65">IF(D113="O",IF(V113&lt;0,V113,0),0)</f>
        <v>0</v>
      </c>
      <c r="X113" s="187">
        <f t="shared" ref="X113:X139" si="66">IF(B113="COM",N113,0)</f>
        <v>0</v>
      </c>
      <c r="Y113" s="187">
        <f t="shared" ref="Y113:Y139" si="67">IF(D113="O",IF(X113&lt;0,X113,0),0)</f>
        <v>0</v>
      </c>
      <c r="Z113" s="187">
        <f t="shared" ref="Z113:Z139" si="68">IF(B113="IND",N113,0)</f>
        <v>-0.76</v>
      </c>
      <c r="AA113" s="183">
        <f t="shared" ref="AA113:AA139" si="69">IF(D113="O",IF(Z113&lt;0,Z113,0),0)</f>
        <v>0</v>
      </c>
      <c r="AB113" s="187">
        <f t="shared" ref="AB113:AB139" si="70">IF(B113="CRYPTO",N113,0)</f>
        <v>0</v>
      </c>
      <c r="AC113" s="183">
        <f t="shared" ref="AC113:AC139" si="71">IF(D113="O",IF(AB113&lt;0,AB113,0),0)</f>
        <v>0</v>
      </c>
      <c r="AD113" s="188">
        <f t="shared" ref="AD113:AD139" si="72">IF(K113&lt;&gt;"",K113-E113,0)</f>
        <v>0.62986111111240461</v>
      </c>
      <c r="AE113" s="188">
        <f t="shared" ref="AE113:AE139" si="73">IF(N113&gt;0,AD113,0)</f>
        <v>0</v>
      </c>
      <c r="AF113" s="188">
        <f t="shared" ref="AF113:AF139" si="74">IF(N113&lt;0,AD113,0)</f>
        <v>0.62986111111240461</v>
      </c>
      <c r="AG113" s="188">
        <f t="shared" ref="AG113:AG139" si="75">IF(N113=0,AD113,0)</f>
        <v>0</v>
      </c>
    </row>
    <row r="114" spans="2:33" ht="15" customHeight="1" x14ac:dyDescent="0.15">
      <c r="B114" s="174" t="s">
        <v>5</v>
      </c>
      <c r="C114" s="175" t="s">
        <v>13</v>
      </c>
      <c r="D114" s="176" t="str">
        <f t="shared" si="57"/>
        <v>C</v>
      </c>
      <c r="E114" s="177" t="d">
        <v>2021-03-05T18:14:59.99999979045242400</v>
      </c>
      <c r="F114" s="178" t="s">
        <v>81</v>
      </c>
      <c r="G114" s="179">
        <v>12265.45</v>
      </c>
      <c r="H114" s="179">
        <v>12418.78</v>
      </c>
      <c r="I114" s="180">
        <f t="shared" si="58"/>
        <v>153.32999999999993</v>
      </c>
      <c r="J114" s="179">
        <v>11345.46</v>
      </c>
      <c r="K114" s="177" t="d">
        <v>2021-03-05T19:21:59.99999969266355025</v>
      </c>
      <c r="L114" s="179">
        <v>12418.78</v>
      </c>
      <c r="M114" s="181">
        <f t="shared" si="59"/>
        <v>-153.33000000000001</v>
      </c>
      <c r="N114" s="182">
        <f t="shared" si="60"/>
        <v>-1</v>
      </c>
      <c r="O114" s="183">
        <f t="shared" si="61"/>
        <v>0</v>
      </c>
      <c r="P114" s="184">
        <f t="shared" si="62"/>
        <v>0</v>
      </c>
      <c r="Q114" s="184">
        <f t="shared" si="63"/>
        <v>-1</v>
      </c>
      <c r="R11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25945</v>
      </c>
      <c r="T11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14" s="186">
        <f ca="1">IF(Tabla336106734811[[#This Row],[Equity]]&lt;Tabla336106734811[[#This Row],[Equity Peak]],(Tabla336106734811[[#This Row],[Equity Peak]]-Tabla336106734811[[#This Row],[Equity]])/Tabla336106734811[[#This Row],[Equity Peak]],"")</f>
        <v>3.2895349920790233E-2</v>
      </c>
      <c r="V114" s="187">
        <f t="shared" si="64"/>
        <v>0</v>
      </c>
      <c r="W114" s="187">
        <f t="shared" si="65"/>
        <v>0</v>
      </c>
      <c r="X114" s="187">
        <f t="shared" si="66"/>
        <v>0</v>
      </c>
      <c r="Y114" s="187">
        <f t="shared" si="67"/>
        <v>0</v>
      </c>
      <c r="Z114" s="187">
        <f t="shared" si="68"/>
        <v>-1</v>
      </c>
      <c r="AA114" s="183">
        <f t="shared" si="69"/>
        <v>0</v>
      </c>
      <c r="AB114" s="187">
        <f t="shared" si="70"/>
        <v>0</v>
      </c>
      <c r="AC114" s="183">
        <f t="shared" si="71"/>
        <v>0</v>
      </c>
      <c r="AD114" s="188">
        <f t="shared" si="72"/>
        <v>4.6527777776645962E-2</v>
      </c>
      <c r="AE114" s="188">
        <f t="shared" si="73"/>
        <v>0</v>
      </c>
      <c r="AF114" s="188">
        <f t="shared" si="74"/>
        <v>4.6527777776645962E-2</v>
      </c>
      <c r="AG114" s="188">
        <f t="shared" si="75"/>
        <v>0</v>
      </c>
    </row>
    <row r="115" spans="2:33" ht="15" customHeight="1" x14ac:dyDescent="0.15">
      <c r="B115" s="174" t="s">
        <v>5</v>
      </c>
      <c r="C115" s="175" t="s">
        <v>13</v>
      </c>
      <c r="D115" s="176" t="str">
        <f t="shared" si="57"/>
        <v>C</v>
      </c>
      <c r="E115" s="177" t="d">
        <v>2021-03-04T20:00:00.00000020954757600</v>
      </c>
      <c r="F115" s="178" t="s">
        <v>81</v>
      </c>
      <c r="G115" s="179">
        <v>12484.09</v>
      </c>
      <c r="H115" s="179">
        <v>12602.88</v>
      </c>
      <c r="I115" s="180">
        <f t="shared" si="58"/>
        <v>118.78999999999905</v>
      </c>
      <c r="J115" s="179">
        <v>11771.34</v>
      </c>
      <c r="K115" s="177" t="d">
        <v>2021-03-04T21:39:00.00000008381903175</v>
      </c>
      <c r="L115" s="179">
        <v>12492.41</v>
      </c>
      <c r="M115" s="181">
        <f t="shared" si="59"/>
        <v>-8.32</v>
      </c>
      <c r="N115" s="182">
        <f t="shared" si="60"/>
        <v>-7.0000000000000007E-2</v>
      </c>
      <c r="O115" s="183">
        <f t="shared" si="61"/>
        <v>0</v>
      </c>
      <c r="P115" s="184">
        <f t="shared" si="62"/>
        <v>0</v>
      </c>
      <c r="Q115" s="184">
        <f t="shared" si="63"/>
        <v>-7.0000000000000007E-2</v>
      </c>
      <c r="R11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26195</v>
      </c>
      <c r="T11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15" s="186">
        <f ca="1">IF(Tabla336106734811[[#This Row],[Equity]]&lt;Tabla336106734811[[#This Row],[Equity Peak]],(Tabla336106734811[[#This Row],[Equity Peak]]-Tabla336106734811[[#This Row],[Equity]])/Tabla336106734811[[#This Row],[Equity Peak]],"")</f>
        <v>2.3576553909234927E-2</v>
      </c>
      <c r="V115" s="187">
        <f t="shared" si="64"/>
        <v>0</v>
      </c>
      <c r="W115" s="187">
        <f t="shared" si="65"/>
        <v>0</v>
      </c>
      <c r="X115" s="187">
        <f t="shared" si="66"/>
        <v>0</v>
      </c>
      <c r="Y115" s="187">
        <f t="shared" si="67"/>
        <v>0</v>
      </c>
      <c r="Z115" s="187">
        <f t="shared" si="68"/>
        <v>-7.0000000000000007E-2</v>
      </c>
      <c r="AA115" s="183">
        <f t="shared" si="69"/>
        <v>0</v>
      </c>
      <c r="AB115" s="187">
        <f t="shared" si="70"/>
        <v>0</v>
      </c>
      <c r="AC115" s="183">
        <f t="shared" si="71"/>
        <v>0</v>
      </c>
      <c r="AD115" s="188">
        <f t="shared" si="72"/>
        <v>6.8749999998544808E-2</v>
      </c>
      <c r="AE115" s="188">
        <f t="shared" si="73"/>
        <v>0</v>
      </c>
      <c r="AF115" s="188">
        <f t="shared" si="74"/>
        <v>6.8749999998544808E-2</v>
      </c>
      <c r="AG115" s="188">
        <f t="shared" si="75"/>
        <v>0</v>
      </c>
    </row>
    <row r="116" spans="2:33" ht="15" customHeight="1" x14ac:dyDescent="0.15">
      <c r="B116" s="174" t="s">
        <v>5</v>
      </c>
      <c r="C116" s="175" t="s">
        <v>13</v>
      </c>
      <c r="D116" s="176" t="str">
        <f t="shared" si="57"/>
        <v>C</v>
      </c>
      <c r="E116" s="177" t="d">
        <v>2021-03-03T15:45:00.000</v>
      </c>
      <c r="F116" s="178" t="s">
        <v>81</v>
      </c>
      <c r="G116" s="179">
        <v>13001.55</v>
      </c>
      <c r="H116" s="179">
        <v>13082.95</v>
      </c>
      <c r="I116" s="180">
        <f t="shared" si="58"/>
        <v>81.400000000001455</v>
      </c>
      <c r="J116" s="179">
        <v>12513.18</v>
      </c>
      <c r="K116" s="177" t="d">
        <v>2021-03-03T18:05:59.99999991618096825</v>
      </c>
      <c r="L116" s="179">
        <v>12928.3</v>
      </c>
      <c r="M116" s="181">
        <f t="shared" si="59"/>
        <v>73.25</v>
      </c>
      <c r="N116" s="182">
        <f t="shared" si="60"/>
        <v>0.9</v>
      </c>
      <c r="O116" s="183">
        <f t="shared" si="61"/>
        <v>0</v>
      </c>
      <c r="P116" s="184">
        <f t="shared" si="62"/>
        <v>0.9</v>
      </c>
      <c r="Q116" s="184">
        <f t="shared" si="63"/>
        <v>0</v>
      </c>
      <c r="R11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26212.5</v>
      </c>
      <c r="T11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16" s="186">
        <f ca="1">IF(Tabla336106734811[[#This Row],[Equity]]&lt;Tabla336106734811[[#This Row],[Equity Peak]],(Tabla336106734811[[#This Row],[Equity Peak]]-Tabla336106734811[[#This Row],[Equity]])/Tabla336106734811[[#This Row],[Equity Peak]],"")</f>
        <v>2.2924238188426056E-2</v>
      </c>
      <c r="V116" s="187">
        <f t="shared" si="64"/>
        <v>0</v>
      </c>
      <c r="W116" s="187">
        <f t="shared" si="65"/>
        <v>0</v>
      </c>
      <c r="X116" s="187">
        <f t="shared" si="66"/>
        <v>0</v>
      </c>
      <c r="Y116" s="187">
        <f t="shared" si="67"/>
        <v>0</v>
      </c>
      <c r="Z116" s="187">
        <f t="shared" si="68"/>
        <v>0.9</v>
      </c>
      <c r="AA116" s="183">
        <f t="shared" si="69"/>
        <v>0</v>
      </c>
      <c r="AB116" s="187">
        <f t="shared" si="70"/>
        <v>0</v>
      </c>
      <c r="AC116" s="183">
        <f t="shared" si="71"/>
        <v>0</v>
      </c>
      <c r="AD116" s="188">
        <f t="shared" si="72"/>
        <v>9.7916666665696539E-2</v>
      </c>
      <c r="AE116" s="188">
        <f t="shared" si="73"/>
        <v>9.7916666665696539E-2</v>
      </c>
      <c r="AF116" s="188">
        <f t="shared" si="74"/>
        <v>0</v>
      </c>
      <c r="AG116" s="188">
        <f t="shared" si="75"/>
        <v>0</v>
      </c>
    </row>
    <row r="117" spans="2:33" ht="15" customHeight="1" x14ac:dyDescent="0.15">
      <c r="B117" s="174" t="s">
        <v>5</v>
      </c>
      <c r="C117" s="175" t="s">
        <v>13</v>
      </c>
      <c r="D117" s="176" t="str">
        <f t="shared" si="57"/>
        <v>C</v>
      </c>
      <c r="E117" s="177" t="d">
        <v>2021-02-25T19:30:00.000</v>
      </c>
      <c r="F117" s="178" t="s">
        <v>81</v>
      </c>
      <c r="G117" s="179">
        <v>12946.5</v>
      </c>
      <c r="H117" s="179">
        <v>13067.88</v>
      </c>
      <c r="I117" s="180">
        <f t="shared" si="58"/>
        <v>121.3799999999992</v>
      </c>
      <c r="J117" s="179">
        <v>12218.24</v>
      </c>
      <c r="K117" s="177" t="d">
        <v>2021-02-26T04:21:00.00000012572854425</v>
      </c>
      <c r="L117" s="179">
        <v>12835.42</v>
      </c>
      <c r="M117" s="181">
        <f t="shared" si="59"/>
        <v>111.08</v>
      </c>
      <c r="N117" s="182">
        <f t="shared" si="60"/>
        <v>0.92</v>
      </c>
      <c r="O117" s="183">
        <f t="shared" si="61"/>
        <v>0</v>
      </c>
      <c r="P117" s="184">
        <f t="shared" si="62"/>
        <v>0.92</v>
      </c>
      <c r="Q117" s="184">
        <f t="shared" si="63"/>
        <v>0</v>
      </c>
      <c r="R11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25987.5</v>
      </c>
      <c r="T11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17" s="186">
        <f ca="1">IF(Tabla336106734811[[#This Row],[Equity]]&lt;Tabla336106734811[[#This Row],[Equity Peak]],(Tabla336106734811[[#This Row],[Equity Peak]]-Tabla336106734811[[#This Row],[Equity]])/Tabla336106734811[[#This Row],[Equity Peak]],"")</f>
        <v>3.131115459882583E-2</v>
      </c>
      <c r="V117" s="187">
        <f t="shared" si="64"/>
        <v>0</v>
      </c>
      <c r="W117" s="187">
        <f t="shared" si="65"/>
        <v>0</v>
      </c>
      <c r="X117" s="187">
        <f t="shared" si="66"/>
        <v>0</v>
      </c>
      <c r="Y117" s="187">
        <f t="shared" si="67"/>
        <v>0</v>
      </c>
      <c r="Z117" s="187">
        <f t="shared" si="68"/>
        <v>0.92</v>
      </c>
      <c r="AA117" s="183">
        <f t="shared" si="69"/>
        <v>0</v>
      </c>
      <c r="AB117" s="187">
        <f t="shared" si="70"/>
        <v>0</v>
      </c>
      <c r="AC117" s="183">
        <f t="shared" si="71"/>
        <v>0</v>
      </c>
      <c r="AD117" s="188">
        <f t="shared" si="72"/>
        <v>0.36875000000145519</v>
      </c>
      <c r="AE117" s="188">
        <f t="shared" si="73"/>
        <v>0.36875000000145519</v>
      </c>
      <c r="AF117" s="188">
        <f t="shared" si="74"/>
        <v>0</v>
      </c>
      <c r="AG117" s="188">
        <f t="shared" si="75"/>
        <v>0</v>
      </c>
    </row>
    <row r="118" spans="2:33" ht="15" customHeight="1" x14ac:dyDescent="0.15">
      <c r="B118" s="174" t="s">
        <v>5</v>
      </c>
      <c r="C118" s="175" t="s">
        <v>13</v>
      </c>
      <c r="D118" s="176" t="str">
        <f t="shared" si="57"/>
        <v>C</v>
      </c>
      <c r="E118" s="177" t="d">
        <v>2021-02-22T09:14:59.99999979045242400</v>
      </c>
      <c r="F118" s="178" t="s">
        <v>81</v>
      </c>
      <c r="G118" s="179">
        <v>13475.24</v>
      </c>
      <c r="H118" s="179">
        <v>13539.66</v>
      </c>
      <c r="I118" s="180">
        <f t="shared" si="58"/>
        <v>64.420000000000073</v>
      </c>
      <c r="J118" s="179">
        <v>13088.72</v>
      </c>
      <c r="K118" s="177" t="d">
        <v>2021-02-22T16:54:00.00000029336660775</v>
      </c>
      <c r="L118" s="179">
        <v>13439.8</v>
      </c>
      <c r="M118" s="181">
        <f t="shared" si="59"/>
        <v>35.44</v>
      </c>
      <c r="N118" s="182">
        <f t="shared" si="60"/>
        <v>0.55000000000000004</v>
      </c>
      <c r="O118" s="183">
        <f t="shared" si="61"/>
        <v>0</v>
      </c>
      <c r="P118" s="184">
        <f t="shared" si="62"/>
        <v>0.55000000000000004</v>
      </c>
      <c r="Q118" s="184">
        <f t="shared" si="63"/>
        <v>0</v>
      </c>
      <c r="R11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25757.5</v>
      </c>
      <c r="T11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18" s="186">
        <f ca="1">IF(Tabla336106734811[[#This Row],[Equity]]&lt;Tabla336106734811[[#This Row],[Equity Peak]],(Tabla336106734811[[#This Row],[Equity Peak]]-Tabla336106734811[[#This Row],[Equity]])/Tabla336106734811[[#This Row],[Equity Peak]],"")</f>
        <v>3.9884446929456717E-2</v>
      </c>
      <c r="V118" s="187">
        <f t="shared" si="64"/>
        <v>0</v>
      </c>
      <c r="W118" s="187">
        <f t="shared" si="65"/>
        <v>0</v>
      </c>
      <c r="X118" s="187">
        <f t="shared" si="66"/>
        <v>0</v>
      </c>
      <c r="Y118" s="187">
        <f t="shared" si="67"/>
        <v>0</v>
      </c>
      <c r="Z118" s="187">
        <f t="shared" si="68"/>
        <v>0.55000000000000004</v>
      </c>
      <c r="AA118" s="183">
        <f t="shared" si="69"/>
        <v>0</v>
      </c>
      <c r="AB118" s="187">
        <f t="shared" si="70"/>
        <v>0</v>
      </c>
      <c r="AC118" s="183">
        <f t="shared" si="71"/>
        <v>0</v>
      </c>
      <c r="AD118" s="188">
        <f t="shared" si="72"/>
        <v>0.31875000000582077</v>
      </c>
      <c r="AE118" s="188">
        <f t="shared" si="73"/>
        <v>0.31875000000582077</v>
      </c>
      <c r="AF118" s="188">
        <f t="shared" si="74"/>
        <v>0</v>
      </c>
      <c r="AG118" s="188">
        <f t="shared" si="75"/>
        <v>0</v>
      </c>
    </row>
    <row r="119" spans="2:33" ht="15" customHeight="1" x14ac:dyDescent="0.15">
      <c r="B119" s="174" t="s">
        <v>5</v>
      </c>
      <c r="C119" s="175" t="s">
        <v>15</v>
      </c>
      <c r="D119" s="176" t="str">
        <f t="shared" si="57"/>
        <v>C</v>
      </c>
      <c r="E119" s="177" t="d">
        <v>2021-02-19T15:59:59.99999979045242400</v>
      </c>
      <c r="F119" s="178" t="s">
        <v>81</v>
      </c>
      <c r="G119" s="179">
        <v>13728.85</v>
      </c>
      <c r="H119" s="179">
        <v>13666.8</v>
      </c>
      <c r="I119" s="180">
        <f t="shared" si="58"/>
        <v>62.050000000001091</v>
      </c>
      <c r="J119" s="179">
        <v>14101.14</v>
      </c>
      <c r="K119" s="177" t="d">
        <v>2021-02-19T16:38:59.99999987427145575</v>
      </c>
      <c r="L119" s="179">
        <v>13666.8</v>
      </c>
      <c r="M119" s="181">
        <f t="shared" si="59"/>
        <v>-62.05</v>
      </c>
      <c r="N119" s="182">
        <f t="shared" si="60"/>
        <v>-1</v>
      </c>
      <c r="O119" s="183">
        <f t="shared" si="61"/>
        <v>0</v>
      </c>
      <c r="P119" s="184">
        <f t="shared" si="62"/>
        <v>0</v>
      </c>
      <c r="Q119" s="184">
        <f t="shared" si="63"/>
        <v>-1</v>
      </c>
      <c r="R11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1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25620</v>
      </c>
      <c r="T11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19" s="186">
        <f ca="1">IF(Tabla336106734811[[#This Row],[Equity]]&lt;Tabla336106734811[[#This Row],[Equity Peak]],(Tabla336106734811[[#This Row],[Equity Peak]]-Tabla336106734811[[#This Row],[Equity]])/Tabla336106734811[[#This Row],[Equity Peak]],"")</f>
        <v>4.5009784735812131E-2</v>
      </c>
      <c r="V119" s="187">
        <f t="shared" si="64"/>
        <v>0</v>
      </c>
      <c r="W119" s="187">
        <f t="shared" si="65"/>
        <v>0</v>
      </c>
      <c r="X119" s="187">
        <f t="shared" si="66"/>
        <v>0</v>
      </c>
      <c r="Y119" s="187">
        <f t="shared" si="67"/>
        <v>0</v>
      </c>
      <c r="Z119" s="187">
        <f t="shared" si="68"/>
        <v>-1</v>
      </c>
      <c r="AA119" s="183">
        <f t="shared" si="69"/>
        <v>0</v>
      </c>
      <c r="AB119" s="187">
        <f t="shared" si="70"/>
        <v>0</v>
      </c>
      <c r="AC119" s="183">
        <f t="shared" si="71"/>
        <v>0</v>
      </c>
      <c r="AD119" s="188">
        <f t="shared" si="72"/>
        <v>2.7083333334303461E-2</v>
      </c>
      <c r="AE119" s="188">
        <f t="shared" si="73"/>
        <v>0</v>
      </c>
      <c r="AF119" s="188">
        <f t="shared" si="74"/>
        <v>2.7083333334303461E-2</v>
      </c>
      <c r="AG119" s="188">
        <f t="shared" si="75"/>
        <v>0</v>
      </c>
    </row>
    <row r="120" spans="2:33" ht="15" customHeight="1" x14ac:dyDescent="0.15">
      <c r="B120" s="174" t="s">
        <v>5</v>
      </c>
      <c r="C120" s="175" t="s">
        <v>13</v>
      </c>
      <c r="D120" s="176" t="str">
        <f t="shared" si="57"/>
        <v>C</v>
      </c>
      <c r="E120" s="177" t="d">
        <v>2021-02-18T17:29:59.99999979045242400</v>
      </c>
      <c r="F120" s="178" t="s">
        <v>81</v>
      </c>
      <c r="G120" s="179">
        <v>13498.95</v>
      </c>
      <c r="H120" s="179">
        <v>13559.61</v>
      </c>
      <c r="I120" s="180">
        <f t="shared" si="58"/>
        <v>60.659999999999854</v>
      </c>
      <c r="J120" s="179">
        <v>13134.96</v>
      </c>
      <c r="K120" s="177" t="d">
        <v>2021-02-18T18:20:00.00000013969838625</v>
      </c>
      <c r="L120" s="179">
        <v>13559.61</v>
      </c>
      <c r="M120" s="181">
        <f t="shared" si="59"/>
        <v>-60.66</v>
      </c>
      <c r="N120" s="182">
        <f t="shared" si="60"/>
        <v>-1</v>
      </c>
      <c r="O120" s="183">
        <f t="shared" si="61"/>
        <v>0</v>
      </c>
      <c r="P120" s="184">
        <f t="shared" si="62"/>
        <v>0</v>
      </c>
      <c r="Q120" s="184">
        <f t="shared" si="63"/>
        <v>-1</v>
      </c>
      <c r="R12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25870</v>
      </c>
      <c r="T12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20" s="186">
        <f ca="1">IF(Tabla336106734811[[#This Row],[Equity]]&lt;Tabla336106734811[[#This Row],[Equity Peak]],(Tabla336106734811[[#This Row],[Equity Peak]]-Tabla336106734811[[#This Row],[Equity]])/Tabla336106734811[[#This Row],[Equity Peak]],"")</f>
        <v>3.5690988724256828E-2</v>
      </c>
      <c r="V120" s="187">
        <f t="shared" si="64"/>
        <v>0</v>
      </c>
      <c r="W120" s="187">
        <f t="shared" si="65"/>
        <v>0</v>
      </c>
      <c r="X120" s="187">
        <f t="shared" si="66"/>
        <v>0</v>
      </c>
      <c r="Y120" s="187">
        <f t="shared" si="67"/>
        <v>0</v>
      </c>
      <c r="Z120" s="187">
        <f t="shared" si="68"/>
        <v>-1</v>
      </c>
      <c r="AA120" s="183">
        <f t="shared" si="69"/>
        <v>0</v>
      </c>
      <c r="AB120" s="187">
        <f t="shared" si="70"/>
        <v>0</v>
      </c>
      <c r="AC120" s="183">
        <f t="shared" si="71"/>
        <v>0</v>
      </c>
      <c r="AD120" s="188">
        <f t="shared" si="72"/>
        <v>3.4722222226264421E-2</v>
      </c>
      <c r="AE120" s="188">
        <f t="shared" si="73"/>
        <v>0</v>
      </c>
      <c r="AF120" s="188">
        <f t="shared" si="74"/>
        <v>3.4722222226264421E-2</v>
      </c>
      <c r="AG120" s="188">
        <f t="shared" si="75"/>
        <v>0</v>
      </c>
    </row>
    <row r="121" spans="2:33" ht="15" customHeight="1" x14ac:dyDescent="0.15">
      <c r="B121" s="174" t="s">
        <v>5</v>
      </c>
      <c r="C121" s="175" t="s">
        <v>15</v>
      </c>
      <c r="D121" s="176" t="str">
        <f t="shared" si="57"/>
        <v>C</v>
      </c>
      <c r="E121" s="177" t="d">
        <v>2021-02-12T18:30:00.00000020954757600</v>
      </c>
      <c r="F121" s="178" t="s">
        <v>81</v>
      </c>
      <c r="G121" s="179">
        <v>13752.05</v>
      </c>
      <c r="H121" s="179">
        <v>13707.45</v>
      </c>
      <c r="I121" s="180">
        <f t="shared" si="58"/>
        <v>44.599999999998545</v>
      </c>
      <c r="J121" s="179">
        <v>14019.67</v>
      </c>
      <c r="K121" s="177" t="d">
        <v>2021-02-16T09:13:00.00000002793967725</v>
      </c>
      <c r="L121" s="179">
        <v>13876.4</v>
      </c>
      <c r="M121" s="181">
        <f t="shared" si="59"/>
        <v>124.35</v>
      </c>
      <c r="N121" s="182">
        <f t="shared" si="60"/>
        <v>2.79</v>
      </c>
      <c r="O121" s="183">
        <f t="shared" si="61"/>
        <v>0</v>
      </c>
      <c r="P121" s="184">
        <f t="shared" si="62"/>
        <v>2.79</v>
      </c>
      <c r="Q121" s="184">
        <f t="shared" si="63"/>
        <v>0</v>
      </c>
      <c r="R12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26120</v>
      </c>
      <c r="T12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21" s="186">
        <f ca="1">IF(Tabla336106734811[[#This Row],[Equity]]&lt;Tabla336106734811[[#This Row],[Equity Peak]],(Tabla336106734811[[#This Row],[Equity Peak]]-Tabla336106734811[[#This Row],[Equity]])/Tabla336106734811[[#This Row],[Equity Peak]],"")</f>
        <v>2.6372192712701518E-2</v>
      </c>
      <c r="V121" s="187">
        <f t="shared" si="64"/>
        <v>0</v>
      </c>
      <c r="W121" s="187">
        <f t="shared" si="65"/>
        <v>0</v>
      </c>
      <c r="X121" s="187">
        <f t="shared" si="66"/>
        <v>0</v>
      </c>
      <c r="Y121" s="187">
        <f t="shared" si="67"/>
        <v>0</v>
      </c>
      <c r="Z121" s="187">
        <f t="shared" si="68"/>
        <v>2.79</v>
      </c>
      <c r="AA121" s="183">
        <f t="shared" si="69"/>
        <v>0</v>
      </c>
      <c r="AB121" s="187">
        <f t="shared" si="70"/>
        <v>0</v>
      </c>
      <c r="AC121" s="183">
        <f t="shared" si="71"/>
        <v>0</v>
      </c>
      <c r="AD121" s="188">
        <f t="shared" si="72"/>
        <v>3.6131944444423425</v>
      </c>
      <c r="AE121" s="188">
        <f t="shared" si="73"/>
        <v>3.6131944444423425</v>
      </c>
      <c r="AF121" s="188">
        <f t="shared" si="74"/>
        <v>0</v>
      </c>
      <c r="AG121" s="188">
        <f t="shared" si="75"/>
        <v>0</v>
      </c>
    </row>
    <row r="122" spans="2:33" ht="15" customHeight="1" x14ac:dyDescent="0.15">
      <c r="B122" s="174" t="s">
        <v>5</v>
      </c>
      <c r="C122" s="175" t="s">
        <v>15</v>
      </c>
      <c r="D122" s="176" t="str">
        <f t="shared" si="57"/>
        <v>C</v>
      </c>
      <c r="E122" s="177" t="d">
        <v>2021-02-10T05:15:00.000</v>
      </c>
      <c r="F122" s="178" t="s">
        <v>81</v>
      </c>
      <c r="G122" s="179">
        <v>13751.35</v>
      </c>
      <c r="H122" s="179">
        <v>13715.16</v>
      </c>
      <c r="I122" s="180">
        <f t="shared" si="58"/>
        <v>36.190000000000509</v>
      </c>
      <c r="J122" s="179">
        <v>13968.47</v>
      </c>
      <c r="K122" s="177" t="d">
        <v>2021-02-10T17:09:00.00000008381903175</v>
      </c>
      <c r="L122" s="179">
        <v>13717.9</v>
      </c>
      <c r="M122" s="181">
        <f t="shared" si="59"/>
        <v>-33.450000000000003</v>
      </c>
      <c r="N122" s="182">
        <f t="shared" si="60"/>
        <v>-0.92</v>
      </c>
      <c r="O122" s="183">
        <f t="shared" si="61"/>
        <v>0</v>
      </c>
      <c r="P122" s="184">
        <f t="shared" si="62"/>
        <v>0</v>
      </c>
      <c r="Q122" s="184">
        <f t="shared" si="63"/>
        <v>-0.92</v>
      </c>
      <c r="R12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25422.5</v>
      </c>
      <c r="T12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22" s="186">
        <f ca="1">IF(Tabla336106734811[[#This Row],[Equity]]&lt;Tabla336106734811[[#This Row],[Equity Peak]],(Tabla336106734811[[#This Row],[Equity Peak]]-Tabla336106734811[[#This Row],[Equity]])/Tabla336106734811[[#This Row],[Equity Peak]],"")</f>
        <v>5.2371633584940826E-2</v>
      </c>
      <c r="V122" s="187">
        <f t="shared" si="64"/>
        <v>0</v>
      </c>
      <c r="W122" s="187">
        <f t="shared" si="65"/>
        <v>0</v>
      </c>
      <c r="X122" s="187">
        <f t="shared" si="66"/>
        <v>0</v>
      </c>
      <c r="Y122" s="187">
        <f t="shared" si="67"/>
        <v>0</v>
      </c>
      <c r="Z122" s="187">
        <f t="shared" si="68"/>
        <v>-0.92</v>
      </c>
      <c r="AA122" s="183">
        <f t="shared" si="69"/>
        <v>0</v>
      </c>
      <c r="AB122" s="187">
        <f t="shared" si="70"/>
        <v>0</v>
      </c>
      <c r="AC122" s="183">
        <f t="shared" si="71"/>
        <v>0</v>
      </c>
      <c r="AD122" s="188">
        <f t="shared" si="72"/>
        <v>0.49583333333430346</v>
      </c>
      <c r="AE122" s="188">
        <f t="shared" si="73"/>
        <v>0</v>
      </c>
      <c r="AF122" s="188">
        <f t="shared" si="74"/>
        <v>0.49583333333430346</v>
      </c>
      <c r="AG122" s="188">
        <f t="shared" si="75"/>
        <v>0</v>
      </c>
    </row>
    <row r="123" spans="2:33" ht="15" customHeight="1" x14ac:dyDescent="0.15">
      <c r="B123" s="174" t="s">
        <v>5</v>
      </c>
      <c r="C123" s="175" t="s">
        <v>15</v>
      </c>
      <c r="D123" s="176" t="str">
        <f t="shared" si="57"/>
        <v>C</v>
      </c>
      <c r="E123" s="177" t="d">
        <v>2021-02-09T17:00:00.00000020954757600</v>
      </c>
      <c r="F123" s="178" t="s">
        <v>81</v>
      </c>
      <c r="G123" s="179">
        <v>13712.75</v>
      </c>
      <c r="H123" s="179">
        <v>13671.87</v>
      </c>
      <c r="I123" s="180">
        <f t="shared" si="58"/>
        <v>40.8799999999992</v>
      </c>
      <c r="J123" s="179">
        <v>13958.05</v>
      </c>
      <c r="K123" s="177" t="d">
        <v>2021-02-09T20:54:00.00000008381903175</v>
      </c>
      <c r="L123" s="179">
        <v>13673.33</v>
      </c>
      <c r="M123" s="181">
        <f t="shared" si="59"/>
        <v>-39.42</v>
      </c>
      <c r="N123" s="182">
        <f t="shared" si="60"/>
        <v>-0.96</v>
      </c>
      <c r="O123" s="183">
        <f t="shared" si="61"/>
        <v>0</v>
      </c>
      <c r="P123" s="184">
        <f t="shared" si="62"/>
        <v>0</v>
      </c>
      <c r="Q123" s="184">
        <f t="shared" si="63"/>
        <v>-0.96</v>
      </c>
      <c r="R12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25652.5</v>
      </c>
      <c r="T12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23" s="186">
        <f ca="1">IF(Tabla336106734811[[#This Row],[Equity]]&lt;Tabla336106734811[[#This Row],[Equity Peak]],(Tabla336106734811[[#This Row],[Equity Peak]]-Tabla336106734811[[#This Row],[Equity]])/Tabla336106734811[[#This Row],[Equity Peak]],"")</f>
        <v>4.3798341254309946E-2</v>
      </c>
      <c r="V123" s="187">
        <f t="shared" si="64"/>
        <v>0</v>
      </c>
      <c r="W123" s="187">
        <f t="shared" si="65"/>
        <v>0</v>
      </c>
      <c r="X123" s="187">
        <f t="shared" si="66"/>
        <v>0</v>
      </c>
      <c r="Y123" s="187">
        <f t="shared" si="67"/>
        <v>0</v>
      </c>
      <c r="Z123" s="187">
        <f t="shared" si="68"/>
        <v>-0.96</v>
      </c>
      <c r="AA123" s="183">
        <f t="shared" si="69"/>
        <v>0</v>
      </c>
      <c r="AB123" s="187">
        <f t="shared" si="70"/>
        <v>0</v>
      </c>
      <c r="AC123" s="183">
        <f t="shared" si="71"/>
        <v>0</v>
      </c>
      <c r="AD123" s="188">
        <f t="shared" si="72"/>
        <v>0.16249999999854481</v>
      </c>
      <c r="AE123" s="188">
        <f t="shared" si="73"/>
        <v>0</v>
      </c>
      <c r="AF123" s="188">
        <f t="shared" si="74"/>
        <v>0.16249999999854481</v>
      </c>
      <c r="AG123" s="188">
        <f t="shared" si="75"/>
        <v>0</v>
      </c>
    </row>
    <row r="124" spans="2:33" ht="15" customHeight="1" x14ac:dyDescent="0.15">
      <c r="B124" s="174" t="s">
        <v>5</v>
      </c>
      <c r="C124" s="175" t="s">
        <v>15</v>
      </c>
      <c r="D124" s="176" t="str">
        <f t="shared" si="57"/>
        <v>C</v>
      </c>
      <c r="E124" s="177" t="d">
        <v>2021-02-08T02:29:59.99999979045242400</v>
      </c>
      <c r="F124" s="178" t="s">
        <v>81</v>
      </c>
      <c r="G124" s="179">
        <v>13653.25</v>
      </c>
      <c r="H124" s="179">
        <v>13603.49</v>
      </c>
      <c r="I124" s="180">
        <f t="shared" si="58"/>
        <v>49.760000000000218</v>
      </c>
      <c r="J124" s="179">
        <v>13951.81</v>
      </c>
      <c r="K124" s="177" t="d">
        <v>2021-02-08T18:39:00.00000008381903175</v>
      </c>
      <c r="L124" s="179">
        <v>13616.93</v>
      </c>
      <c r="M124" s="181">
        <f t="shared" si="59"/>
        <v>-36.32</v>
      </c>
      <c r="N124" s="182">
        <f t="shared" si="60"/>
        <v>-0.73</v>
      </c>
      <c r="O124" s="183">
        <f t="shared" si="61"/>
        <v>0</v>
      </c>
      <c r="P124" s="184">
        <f t="shared" si="62"/>
        <v>0</v>
      </c>
      <c r="Q124" s="184">
        <f t="shared" si="63"/>
        <v>-0.73</v>
      </c>
      <c r="R12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25892.5</v>
      </c>
      <c r="T12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24" s="186">
        <f ca="1">IF(Tabla336106734811[[#This Row],[Equity]]&lt;Tabla336106734811[[#This Row],[Equity Peak]],(Tabla336106734811[[#This Row],[Equity Peak]]-Tabla336106734811[[#This Row],[Equity]])/Tabla336106734811[[#This Row],[Equity Peak]],"")</f>
        <v>3.4852297083216847E-2</v>
      </c>
      <c r="V124" s="187">
        <f t="shared" si="64"/>
        <v>0</v>
      </c>
      <c r="W124" s="187">
        <f t="shared" si="65"/>
        <v>0</v>
      </c>
      <c r="X124" s="187">
        <f t="shared" si="66"/>
        <v>0</v>
      </c>
      <c r="Y124" s="187">
        <f t="shared" si="67"/>
        <v>0</v>
      </c>
      <c r="Z124" s="187">
        <f t="shared" si="68"/>
        <v>-0.73</v>
      </c>
      <c r="AA124" s="183">
        <f t="shared" si="69"/>
        <v>0</v>
      </c>
      <c r="AB124" s="187">
        <f t="shared" si="70"/>
        <v>0</v>
      </c>
      <c r="AC124" s="183">
        <f t="shared" si="71"/>
        <v>0</v>
      </c>
      <c r="AD124" s="188">
        <f t="shared" si="72"/>
        <v>0.67291666667006211</v>
      </c>
      <c r="AE124" s="188">
        <f t="shared" si="73"/>
        <v>0</v>
      </c>
      <c r="AF124" s="188">
        <f t="shared" si="74"/>
        <v>0.67291666667006211</v>
      </c>
      <c r="AG124" s="188">
        <f t="shared" si="75"/>
        <v>0</v>
      </c>
    </row>
    <row r="125" spans="2:33" ht="15" customHeight="1" x14ac:dyDescent="0.15">
      <c r="B125" s="174" t="s">
        <v>5</v>
      </c>
      <c r="C125" s="175" t="s">
        <v>15</v>
      </c>
      <c r="D125" s="176" t="str">
        <f t="shared" si="57"/>
        <v>C</v>
      </c>
      <c r="E125" s="177" t="d">
        <v>2021-02-05T20:00:00.00000020954757600</v>
      </c>
      <c r="F125" s="178" t="s">
        <v>81</v>
      </c>
      <c r="G125" s="179">
        <v>13637.75</v>
      </c>
      <c r="H125" s="179">
        <v>13587.82</v>
      </c>
      <c r="I125" s="180">
        <f t="shared" si="58"/>
        <v>49.930000000000291</v>
      </c>
      <c r="J125" s="179">
        <v>13937.32</v>
      </c>
      <c r="K125" s="177" t="d">
        <v>2021-02-05T21:01:00.00000019557774075</v>
      </c>
      <c r="L125" s="179">
        <v>13587.82</v>
      </c>
      <c r="M125" s="181">
        <f t="shared" si="59"/>
        <v>-49.93</v>
      </c>
      <c r="N125" s="182">
        <f t="shared" si="60"/>
        <v>-1</v>
      </c>
      <c r="O125" s="183">
        <f t="shared" si="61"/>
        <v>0</v>
      </c>
      <c r="P125" s="184">
        <f t="shared" si="62"/>
        <v>0</v>
      </c>
      <c r="Q125" s="184">
        <f t="shared" si="63"/>
        <v>-1</v>
      </c>
      <c r="R12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26075</v>
      </c>
      <c r="T12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25" s="186">
        <f ca="1">IF(Tabla336106734811[[#This Row],[Equity]]&lt;Tabla336106734811[[#This Row],[Equity Peak]],(Tabla336106734811[[#This Row],[Equity Peak]]-Tabla336106734811[[#This Row],[Equity]])/Tabla336106734811[[#This Row],[Equity Peak]],"")</f>
        <v>2.8049575994781473E-2</v>
      </c>
      <c r="V125" s="187">
        <f t="shared" si="64"/>
        <v>0</v>
      </c>
      <c r="W125" s="187">
        <f t="shared" si="65"/>
        <v>0</v>
      </c>
      <c r="X125" s="187">
        <f t="shared" si="66"/>
        <v>0</v>
      </c>
      <c r="Y125" s="187">
        <f t="shared" si="67"/>
        <v>0</v>
      </c>
      <c r="Z125" s="187">
        <f t="shared" si="68"/>
        <v>-1</v>
      </c>
      <c r="AA125" s="183">
        <f t="shared" si="69"/>
        <v>0</v>
      </c>
      <c r="AB125" s="187">
        <f t="shared" si="70"/>
        <v>0</v>
      </c>
      <c r="AC125" s="183">
        <f t="shared" si="71"/>
        <v>0</v>
      </c>
      <c r="AD125" s="188">
        <f t="shared" si="72"/>
        <v>4.2361111110949423E-2</v>
      </c>
      <c r="AE125" s="188">
        <f t="shared" si="73"/>
        <v>0</v>
      </c>
      <c r="AF125" s="188">
        <f t="shared" si="74"/>
        <v>4.2361111110949423E-2</v>
      </c>
      <c r="AG125" s="188">
        <f t="shared" si="75"/>
        <v>0</v>
      </c>
    </row>
    <row r="126" spans="2:33" ht="15" customHeight="1" x14ac:dyDescent="0.15">
      <c r="B126" s="174" t="s">
        <v>5</v>
      </c>
      <c r="C126" s="175" t="s">
        <v>15</v>
      </c>
      <c r="D126" s="176" t="str">
        <f t="shared" si="57"/>
        <v>C</v>
      </c>
      <c r="E126" s="177" t="d">
        <v>2021-02-05T04:15:00.00000020954757600</v>
      </c>
      <c r="F126" s="178" t="s">
        <v>81</v>
      </c>
      <c r="G126" s="179">
        <v>13581.65</v>
      </c>
      <c r="H126" s="179">
        <v>13527.07</v>
      </c>
      <c r="I126" s="180">
        <f t="shared" si="58"/>
        <v>54.579999999999927</v>
      </c>
      <c r="J126" s="179">
        <v>13909.14</v>
      </c>
      <c r="K126" s="177" t="d">
        <v>2021-02-05T17:03:00.00000016763806350</v>
      </c>
      <c r="L126" s="179">
        <v>13537.14</v>
      </c>
      <c r="M126" s="181">
        <f t="shared" si="59"/>
        <v>-44.51</v>
      </c>
      <c r="N126" s="182">
        <f t="shared" si="60"/>
        <v>-0.82</v>
      </c>
      <c r="O126" s="183">
        <f t="shared" si="61"/>
        <v>0</v>
      </c>
      <c r="P126" s="184">
        <f t="shared" si="62"/>
        <v>0</v>
      </c>
      <c r="Q126" s="184">
        <f t="shared" si="63"/>
        <v>-0.82</v>
      </c>
      <c r="R12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26325</v>
      </c>
      <c r="T12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26" s="186">
        <f ca="1">IF(Tabla336106734811[[#This Row],[Equity]]&lt;Tabla336106734811[[#This Row],[Equity Peak]],(Tabla336106734811[[#This Row],[Equity Peak]]-Tabla336106734811[[#This Row],[Equity]])/Tabla336106734811[[#This Row],[Equity Peak]],"")</f>
        <v>1.8730779983226167E-2</v>
      </c>
      <c r="V126" s="187">
        <f t="shared" si="64"/>
        <v>0</v>
      </c>
      <c r="W126" s="187">
        <f t="shared" si="65"/>
        <v>0</v>
      </c>
      <c r="X126" s="187">
        <f t="shared" si="66"/>
        <v>0</v>
      </c>
      <c r="Y126" s="187">
        <f t="shared" si="67"/>
        <v>0</v>
      </c>
      <c r="Z126" s="187">
        <f t="shared" si="68"/>
        <v>-0.82</v>
      </c>
      <c r="AA126" s="183">
        <f t="shared" si="69"/>
        <v>0</v>
      </c>
      <c r="AB126" s="187">
        <f t="shared" si="70"/>
        <v>0</v>
      </c>
      <c r="AC126" s="183">
        <f t="shared" si="71"/>
        <v>0</v>
      </c>
      <c r="AD126" s="188">
        <f t="shared" si="72"/>
        <v>0.53333333333284827</v>
      </c>
      <c r="AE126" s="188">
        <f t="shared" si="73"/>
        <v>0</v>
      </c>
      <c r="AF126" s="188">
        <f t="shared" si="74"/>
        <v>0.53333333333284827</v>
      </c>
      <c r="AG126" s="188">
        <f t="shared" si="75"/>
        <v>0</v>
      </c>
    </row>
    <row r="127" spans="2:33" ht="15" customHeight="1" x14ac:dyDescent="0.15">
      <c r="B127" s="174" t="s">
        <v>5</v>
      </c>
      <c r="C127" s="175" t="s">
        <v>15</v>
      </c>
      <c r="D127" s="176" t="str">
        <f t="shared" si="57"/>
        <v>C</v>
      </c>
      <c r="E127" s="177" t="d">
        <v>2021-02-01T18:45:00.000</v>
      </c>
      <c r="F127" s="178" t="s">
        <v>81</v>
      </c>
      <c r="G127" s="179">
        <v>13191.15</v>
      </c>
      <c r="H127" s="179">
        <v>13073.76</v>
      </c>
      <c r="I127" s="180">
        <f t="shared" si="58"/>
        <v>117.38999999999942</v>
      </c>
      <c r="J127" s="179">
        <v>13895.48</v>
      </c>
      <c r="K127" s="177" t="d">
        <v>2021-02-03T16:35:59.99999991618096825</v>
      </c>
      <c r="L127" s="179">
        <v>13520.78</v>
      </c>
      <c r="M127" s="181">
        <f t="shared" si="59"/>
        <v>329.63</v>
      </c>
      <c r="N127" s="182">
        <f t="shared" si="60"/>
        <v>2.81</v>
      </c>
      <c r="O127" s="183">
        <f t="shared" si="61"/>
        <v>0</v>
      </c>
      <c r="P127" s="184">
        <f t="shared" si="62"/>
        <v>2.81</v>
      </c>
      <c r="Q127" s="184">
        <f t="shared" si="63"/>
        <v>0</v>
      </c>
      <c r="R12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26530</v>
      </c>
      <c r="T12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27" s="186">
        <f ca="1">IF(Tabla336106734811[[#This Row],[Equity]]&lt;Tabla336106734811[[#This Row],[Equity Peak]],(Tabla336106734811[[#This Row],[Equity Peak]]-Tabla336106734811[[#This Row],[Equity]])/Tabla336106734811[[#This Row],[Equity Peak]],"")</f>
        <v>1.1089367253750815E-2</v>
      </c>
      <c r="V127" s="187">
        <f t="shared" si="64"/>
        <v>0</v>
      </c>
      <c r="W127" s="187">
        <f t="shared" si="65"/>
        <v>0</v>
      </c>
      <c r="X127" s="187">
        <f t="shared" si="66"/>
        <v>0</v>
      </c>
      <c r="Y127" s="187">
        <f t="shared" si="67"/>
        <v>0</v>
      </c>
      <c r="Z127" s="187">
        <f t="shared" si="68"/>
        <v>2.81</v>
      </c>
      <c r="AA127" s="183">
        <f t="shared" si="69"/>
        <v>0</v>
      </c>
      <c r="AB127" s="187">
        <f t="shared" si="70"/>
        <v>0</v>
      </c>
      <c r="AC127" s="183">
        <f t="shared" si="71"/>
        <v>0</v>
      </c>
      <c r="AD127" s="188">
        <f t="shared" si="72"/>
        <v>1.9104166666656965</v>
      </c>
      <c r="AE127" s="188">
        <f t="shared" si="73"/>
        <v>1.9104166666656965</v>
      </c>
      <c r="AF127" s="188">
        <f t="shared" si="74"/>
        <v>0</v>
      </c>
      <c r="AG127" s="188">
        <f t="shared" si="75"/>
        <v>0</v>
      </c>
    </row>
    <row r="128" spans="2:33" ht="15" customHeight="1" x14ac:dyDescent="0.15">
      <c r="B128" s="174" t="s">
        <v>5</v>
      </c>
      <c r="C128" s="175" t="s">
        <v>13</v>
      </c>
      <c r="D128" s="176" t="str">
        <f t="shared" si="57"/>
        <v>C</v>
      </c>
      <c r="E128" s="177" t="d">
        <v>2021-02-01T01:15:00.00000020954757600</v>
      </c>
      <c r="F128" s="178" t="s">
        <v>81</v>
      </c>
      <c r="G128" s="179">
        <v>12780.85</v>
      </c>
      <c r="H128" s="179">
        <v>12908.36</v>
      </c>
      <c r="I128" s="180">
        <f t="shared" si="58"/>
        <v>127.51000000000022</v>
      </c>
      <c r="J128" s="179">
        <v>12015.79</v>
      </c>
      <c r="K128" s="177" t="d">
        <v>2021-02-01T05:20:59.99999991618096825</v>
      </c>
      <c r="L128" s="179">
        <v>12908.36</v>
      </c>
      <c r="M128" s="181">
        <f t="shared" si="59"/>
        <v>-127.51</v>
      </c>
      <c r="N128" s="182">
        <f t="shared" si="60"/>
        <v>-1</v>
      </c>
      <c r="O128" s="183">
        <f t="shared" si="61"/>
        <v>0</v>
      </c>
      <c r="P128" s="184">
        <f t="shared" si="62"/>
        <v>0</v>
      </c>
      <c r="Q128" s="184">
        <f t="shared" si="63"/>
        <v>-1</v>
      </c>
      <c r="R12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25827.5</v>
      </c>
      <c r="T12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28" s="186">
        <f ca="1">IF(Tabla336106734811[[#This Row],[Equity]]&lt;Tabla336106734811[[#This Row],[Equity Peak]],(Tabla336106734811[[#This Row],[Equity Peak]]-Tabla336106734811[[#This Row],[Equity]])/Tabla336106734811[[#This Row],[Equity Peak]],"")</f>
        <v>3.7275184046221231E-2</v>
      </c>
      <c r="V128" s="187">
        <f t="shared" si="64"/>
        <v>0</v>
      </c>
      <c r="W128" s="187">
        <f t="shared" si="65"/>
        <v>0</v>
      </c>
      <c r="X128" s="187">
        <f t="shared" si="66"/>
        <v>0</v>
      </c>
      <c r="Y128" s="187">
        <f t="shared" si="67"/>
        <v>0</v>
      </c>
      <c r="Z128" s="187">
        <f t="shared" si="68"/>
        <v>-1</v>
      </c>
      <c r="AA128" s="183">
        <f t="shared" si="69"/>
        <v>0</v>
      </c>
      <c r="AB128" s="187">
        <f t="shared" si="70"/>
        <v>0</v>
      </c>
      <c r="AC128" s="183">
        <f t="shared" si="71"/>
        <v>0</v>
      </c>
      <c r="AD128" s="188">
        <f t="shared" si="72"/>
        <v>0.17083333332993789</v>
      </c>
      <c r="AE128" s="188">
        <f t="shared" si="73"/>
        <v>0</v>
      </c>
      <c r="AF128" s="188">
        <f t="shared" si="74"/>
        <v>0.17083333332993789</v>
      </c>
      <c r="AG128" s="188">
        <f t="shared" si="75"/>
        <v>0</v>
      </c>
    </row>
    <row r="129" spans="2:33" ht="15" customHeight="1" x14ac:dyDescent="0.15">
      <c r="B129" s="174" t="s">
        <v>5</v>
      </c>
      <c r="C129" s="175" t="s">
        <v>13</v>
      </c>
      <c r="D129" s="176" t="str">
        <f t="shared" si="57"/>
        <v>C</v>
      </c>
      <c r="E129" s="177" t="d">
        <v>2021-01-29T19:44:59.99999979045242400</v>
      </c>
      <c r="F129" s="178" t="s">
        <v>81</v>
      </c>
      <c r="G129" s="179">
        <v>12897.85</v>
      </c>
      <c r="H129" s="179">
        <v>13028.31</v>
      </c>
      <c r="I129" s="180">
        <f t="shared" si="58"/>
        <v>130.45999999999913</v>
      </c>
      <c r="J129" s="179">
        <v>12115.12</v>
      </c>
      <c r="K129" s="177" t="d">
        <v>2021-01-29T22:18:00.00000016763806350</v>
      </c>
      <c r="L129" s="179">
        <v>13028.31</v>
      </c>
      <c r="M129" s="181">
        <f t="shared" si="59"/>
        <v>-130.46</v>
      </c>
      <c r="N129" s="182">
        <f t="shared" si="60"/>
        <v>-1</v>
      </c>
      <c r="O129" s="183">
        <f t="shared" si="61"/>
        <v>0</v>
      </c>
      <c r="P129" s="184">
        <f t="shared" si="62"/>
        <v>0</v>
      </c>
      <c r="Q129" s="184">
        <f t="shared" si="63"/>
        <v>-1</v>
      </c>
      <c r="R12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2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26077.5</v>
      </c>
      <c r="T12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29" s="186">
        <f ca="1">IF(Tabla336106734811[[#This Row],[Equity]]&lt;Tabla336106734811[[#This Row],[Equity Peak]],(Tabla336106734811[[#This Row],[Equity Peak]]-Tabla336106734811[[#This Row],[Equity]])/Tabla336106734811[[#This Row],[Equity Peak]],"")</f>
        <v>2.7956388034665922E-2</v>
      </c>
      <c r="V129" s="187">
        <f t="shared" si="64"/>
        <v>0</v>
      </c>
      <c r="W129" s="187">
        <f t="shared" si="65"/>
        <v>0</v>
      </c>
      <c r="X129" s="187">
        <f t="shared" si="66"/>
        <v>0</v>
      </c>
      <c r="Y129" s="187">
        <f t="shared" si="67"/>
        <v>0</v>
      </c>
      <c r="Z129" s="187">
        <f t="shared" si="68"/>
        <v>-1</v>
      </c>
      <c r="AA129" s="183">
        <f t="shared" si="69"/>
        <v>0</v>
      </c>
      <c r="AB129" s="187">
        <f t="shared" si="70"/>
        <v>0</v>
      </c>
      <c r="AC129" s="183">
        <f t="shared" si="71"/>
        <v>0</v>
      </c>
      <c r="AD129" s="188">
        <f t="shared" si="72"/>
        <v>0.10625000000436557</v>
      </c>
      <c r="AE129" s="188">
        <f t="shared" si="73"/>
        <v>0</v>
      </c>
      <c r="AF129" s="188">
        <f t="shared" si="74"/>
        <v>0.10625000000436557</v>
      </c>
      <c r="AG129" s="188">
        <f t="shared" si="75"/>
        <v>0</v>
      </c>
    </row>
    <row r="130" spans="2:33" ht="15" customHeight="1" x14ac:dyDescent="0.15">
      <c r="B130" s="174" t="s">
        <v>5</v>
      </c>
      <c r="C130" s="175" t="s">
        <v>13</v>
      </c>
      <c r="D130" s="176" t="str">
        <f t="shared" si="57"/>
        <v>C</v>
      </c>
      <c r="E130" s="177" t="d">
        <v>2021-01-27T23:15:00.000</v>
      </c>
      <c r="F130" s="178" t="s">
        <v>81</v>
      </c>
      <c r="G130" s="179">
        <v>12980.05</v>
      </c>
      <c r="H130" s="179">
        <v>13057.12</v>
      </c>
      <c r="I130" s="180">
        <f t="shared" si="58"/>
        <v>77.070000000001528</v>
      </c>
      <c r="J130" s="179">
        <v>12517.64</v>
      </c>
      <c r="K130" s="177" t="d">
        <v>2021-01-27T23:36:59.99999990221113300</v>
      </c>
      <c r="L130" s="179">
        <v>13057.12</v>
      </c>
      <c r="M130" s="181">
        <f t="shared" si="59"/>
        <v>-77.069999999999993</v>
      </c>
      <c r="N130" s="182">
        <f t="shared" si="60"/>
        <v>-1</v>
      </c>
      <c r="O130" s="183">
        <f t="shared" si="61"/>
        <v>0</v>
      </c>
      <c r="P130" s="184">
        <f t="shared" si="62"/>
        <v>0</v>
      </c>
      <c r="Q130" s="184">
        <f t="shared" si="63"/>
        <v>-1</v>
      </c>
      <c r="R130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0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26327.5</v>
      </c>
      <c r="T130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30" s="186">
        <f ca="1">IF(Tabla336106734811[[#This Row],[Equity]]&lt;Tabla336106734811[[#This Row],[Equity Peak]],(Tabla336106734811[[#This Row],[Equity Peak]]-Tabla336106734811[[#This Row],[Equity]])/Tabla336106734811[[#This Row],[Equity Peak]],"")</f>
        <v>1.8637592023110616E-2</v>
      </c>
      <c r="V130" s="187">
        <f t="shared" si="64"/>
        <v>0</v>
      </c>
      <c r="W130" s="187">
        <f t="shared" si="65"/>
        <v>0</v>
      </c>
      <c r="X130" s="187">
        <f t="shared" si="66"/>
        <v>0</v>
      </c>
      <c r="Y130" s="187">
        <f t="shared" si="67"/>
        <v>0</v>
      </c>
      <c r="Z130" s="187">
        <f t="shared" si="68"/>
        <v>-1</v>
      </c>
      <c r="AA130" s="183">
        <f t="shared" si="69"/>
        <v>0</v>
      </c>
      <c r="AB130" s="187">
        <f t="shared" si="70"/>
        <v>0</v>
      </c>
      <c r="AC130" s="183">
        <f t="shared" si="71"/>
        <v>0</v>
      </c>
      <c r="AD130" s="188">
        <f t="shared" si="72"/>
        <v>1.5277777776645962E-2</v>
      </c>
      <c r="AE130" s="188">
        <f t="shared" si="73"/>
        <v>0</v>
      </c>
      <c r="AF130" s="188">
        <f t="shared" si="74"/>
        <v>1.5277777776645962E-2</v>
      </c>
      <c r="AG130" s="188">
        <f t="shared" si="75"/>
        <v>0</v>
      </c>
    </row>
    <row r="131" spans="2:33" ht="15" customHeight="1" x14ac:dyDescent="0.15">
      <c r="B131" s="174" t="s">
        <v>5</v>
      </c>
      <c r="C131" s="175" t="s">
        <v>15</v>
      </c>
      <c r="D131" s="176" t="str">
        <f t="shared" si="57"/>
        <v>C</v>
      </c>
      <c r="E131" s="177" t="d">
        <v>2021-01-26T23:15:00.000</v>
      </c>
      <c r="F131" s="178" t="s">
        <v>81</v>
      </c>
      <c r="G131" s="179">
        <v>13578.55</v>
      </c>
      <c r="H131" s="179">
        <v>13516.5</v>
      </c>
      <c r="I131" s="180">
        <f t="shared" si="58"/>
        <v>62.049999999999272</v>
      </c>
      <c r="J131" s="179">
        <v>13950.85</v>
      </c>
      <c r="K131" s="177" t="d">
        <v>2021-01-27T13:06:59.99999990221113300</v>
      </c>
      <c r="L131" s="179">
        <v>13516.5</v>
      </c>
      <c r="M131" s="181">
        <f t="shared" si="59"/>
        <v>-62.05</v>
      </c>
      <c r="N131" s="182">
        <f t="shared" si="60"/>
        <v>-1</v>
      </c>
      <c r="O131" s="183">
        <f t="shared" si="61"/>
        <v>0</v>
      </c>
      <c r="P131" s="184">
        <f t="shared" si="62"/>
        <v>0</v>
      </c>
      <c r="Q131" s="184">
        <f t="shared" si="63"/>
        <v>-1</v>
      </c>
      <c r="R131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1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26577.5</v>
      </c>
      <c r="T131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31" s="186">
        <f ca="1">IF(Tabla336106734811[[#This Row],[Equity]]&lt;Tabla336106734811[[#This Row],[Equity Peak]],(Tabla336106734811[[#This Row],[Equity Peak]]-Tabla336106734811[[#This Row],[Equity]])/Tabla336106734811[[#This Row],[Equity Peak]],"")</f>
        <v>9.3187960115553078E-3</v>
      </c>
      <c r="V131" s="187">
        <f t="shared" si="64"/>
        <v>0</v>
      </c>
      <c r="W131" s="187">
        <f t="shared" si="65"/>
        <v>0</v>
      </c>
      <c r="X131" s="187">
        <f t="shared" si="66"/>
        <v>0</v>
      </c>
      <c r="Y131" s="187">
        <f t="shared" si="67"/>
        <v>0</v>
      </c>
      <c r="Z131" s="187">
        <f t="shared" si="68"/>
        <v>-1</v>
      </c>
      <c r="AA131" s="183">
        <f t="shared" si="69"/>
        <v>0</v>
      </c>
      <c r="AB131" s="187">
        <f t="shared" si="70"/>
        <v>0</v>
      </c>
      <c r="AC131" s="183">
        <f t="shared" si="71"/>
        <v>0</v>
      </c>
      <c r="AD131" s="188">
        <f t="shared" si="72"/>
        <v>0.57777777777664596</v>
      </c>
      <c r="AE131" s="188">
        <f t="shared" si="73"/>
        <v>0</v>
      </c>
      <c r="AF131" s="188">
        <f t="shared" si="74"/>
        <v>0.57777777777664596</v>
      </c>
      <c r="AG131" s="188">
        <f t="shared" si="75"/>
        <v>0</v>
      </c>
    </row>
    <row r="132" spans="2:33" ht="15" customHeight="1" x14ac:dyDescent="0.15">
      <c r="B132" s="174" t="s">
        <v>5</v>
      </c>
      <c r="C132" s="175" t="s">
        <v>15</v>
      </c>
      <c r="D132" s="176" t="str">
        <f t="shared" si="57"/>
        <v>C</v>
      </c>
      <c r="E132" s="177" t="d">
        <v>2021-01-25T02:29:59.99999979045242400</v>
      </c>
      <c r="F132" s="178" t="s">
        <v>81</v>
      </c>
      <c r="G132" s="179">
        <v>13440.15</v>
      </c>
      <c r="H132" s="179">
        <v>13392.8</v>
      </c>
      <c r="I132" s="180">
        <f t="shared" si="58"/>
        <v>47.350000000000364</v>
      </c>
      <c r="J132" s="179">
        <v>13724.27</v>
      </c>
      <c r="K132" s="177" t="d">
        <v>2021-01-25T17:39:00.00000029336660775</v>
      </c>
      <c r="L132" s="179">
        <v>13509.42</v>
      </c>
      <c r="M132" s="181">
        <f t="shared" si="59"/>
        <v>69.27</v>
      </c>
      <c r="N132" s="182">
        <f t="shared" si="60"/>
        <v>1.46</v>
      </c>
      <c r="O132" s="183">
        <f t="shared" si="61"/>
        <v>0</v>
      </c>
      <c r="P132" s="184">
        <f t="shared" si="62"/>
        <v>1.46</v>
      </c>
      <c r="Q132" s="184">
        <f t="shared" si="63"/>
        <v>0</v>
      </c>
      <c r="R132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2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26827.5</v>
      </c>
      <c r="T132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26827.5</v>
      </c>
      <c r="U132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32" s="187">
        <f t="shared" si="64"/>
        <v>0</v>
      </c>
      <c r="W132" s="187">
        <f t="shared" si="65"/>
        <v>0</v>
      </c>
      <c r="X132" s="187">
        <f t="shared" si="66"/>
        <v>0</v>
      </c>
      <c r="Y132" s="187">
        <f t="shared" si="67"/>
        <v>0</v>
      </c>
      <c r="Z132" s="187">
        <f t="shared" si="68"/>
        <v>1.46</v>
      </c>
      <c r="AA132" s="183">
        <f t="shared" si="69"/>
        <v>0</v>
      </c>
      <c r="AB132" s="187">
        <f t="shared" si="70"/>
        <v>0</v>
      </c>
      <c r="AC132" s="183">
        <f t="shared" si="71"/>
        <v>0</v>
      </c>
      <c r="AD132" s="188">
        <f t="shared" si="72"/>
        <v>0.63125000000582077</v>
      </c>
      <c r="AE132" s="188">
        <f t="shared" si="73"/>
        <v>0.63125000000582077</v>
      </c>
      <c r="AF132" s="188">
        <f t="shared" si="74"/>
        <v>0</v>
      </c>
      <c r="AG132" s="188">
        <f t="shared" si="75"/>
        <v>0</v>
      </c>
    </row>
    <row r="133" spans="2:33" ht="15" customHeight="1" x14ac:dyDescent="0.15">
      <c r="B133" s="174" t="s">
        <v>5</v>
      </c>
      <c r="C133" s="175" t="s">
        <v>15</v>
      </c>
      <c r="D133" s="176" t="str">
        <f t="shared" si="57"/>
        <v>C</v>
      </c>
      <c r="E133" s="177" t="d">
        <v>2021-01-19T20:00:00.00000020954757600</v>
      </c>
      <c r="F133" s="178" t="s">
        <v>81</v>
      </c>
      <c r="G133" s="179">
        <v>12964.45</v>
      </c>
      <c r="H133" s="179">
        <v>12914.07</v>
      </c>
      <c r="I133" s="180">
        <f t="shared" si="58"/>
        <v>50.380000000001019</v>
      </c>
      <c r="J133" s="179">
        <v>13266.72</v>
      </c>
      <c r="K133" s="177" t="d">
        <v>2021-01-20T19:02:59.99999974854290475</v>
      </c>
      <c r="L133" s="179">
        <v>13266.72</v>
      </c>
      <c r="M133" s="181">
        <f t="shared" si="59"/>
        <v>302.27</v>
      </c>
      <c r="N133" s="182">
        <f t="shared" si="60"/>
        <v>6</v>
      </c>
      <c r="O133" s="183">
        <f t="shared" si="61"/>
        <v>0</v>
      </c>
      <c r="P133" s="184">
        <f t="shared" si="62"/>
        <v>6</v>
      </c>
      <c r="Q133" s="184">
        <f t="shared" si="63"/>
        <v>0</v>
      </c>
      <c r="R133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3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26462.5</v>
      </c>
      <c r="T133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26462.5</v>
      </c>
      <c r="U133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33" s="187">
        <f t="shared" si="64"/>
        <v>0</v>
      </c>
      <c r="W133" s="187">
        <f t="shared" si="65"/>
        <v>0</v>
      </c>
      <c r="X133" s="187">
        <f t="shared" si="66"/>
        <v>0</v>
      </c>
      <c r="Y133" s="187">
        <f t="shared" si="67"/>
        <v>0</v>
      </c>
      <c r="Z133" s="187">
        <f t="shared" si="68"/>
        <v>6</v>
      </c>
      <c r="AA133" s="183">
        <f t="shared" si="69"/>
        <v>0</v>
      </c>
      <c r="AB133" s="187">
        <f t="shared" si="70"/>
        <v>0</v>
      </c>
      <c r="AC133" s="183">
        <f t="shared" si="71"/>
        <v>0</v>
      </c>
      <c r="AD133" s="188">
        <f t="shared" si="72"/>
        <v>0.96041666666133096</v>
      </c>
      <c r="AE133" s="188">
        <f t="shared" si="73"/>
        <v>0.96041666666133096</v>
      </c>
      <c r="AF133" s="188">
        <f t="shared" si="74"/>
        <v>0</v>
      </c>
      <c r="AG133" s="188">
        <f t="shared" si="75"/>
        <v>0</v>
      </c>
    </row>
    <row r="134" spans="2:33" ht="15" customHeight="1" x14ac:dyDescent="0.15">
      <c r="B134" s="174" t="s">
        <v>5</v>
      </c>
      <c r="C134" s="175" t="s">
        <v>15</v>
      </c>
      <c r="D134" s="176" t="str">
        <f t="shared" si="57"/>
        <v>C</v>
      </c>
      <c r="E134" s="177" t="d">
        <v>2021-01-19T05:29:59.99999979045242400</v>
      </c>
      <c r="F134" s="178" t="s">
        <v>81</v>
      </c>
      <c r="G134" s="179">
        <v>12949.95</v>
      </c>
      <c r="H134" s="179">
        <v>12899.37</v>
      </c>
      <c r="I134" s="180">
        <f t="shared" si="58"/>
        <v>50.579999999999927</v>
      </c>
      <c r="J134" s="179">
        <v>13253.44</v>
      </c>
      <c r="K134" s="177" t="d">
        <v>2021-01-19T15:53:59.99999987427145575</v>
      </c>
      <c r="L134" s="179">
        <v>12899.37</v>
      </c>
      <c r="M134" s="181">
        <f t="shared" si="59"/>
        <v>-50.58</v>
      </c>
      <c r="N134" s="182">
        <f t="shared" si="60"/>
        <v>-1</v>
      </c>
      <c r="O134" s="183">
        <f t="shared" si="61"/>
        <v>0</v>
      </c>
      <c r="P134" s="184">
        <f t="shared" si="62"/>
        <v>0</v>
      </c>
      <c r="Q134" s="184">
        <f t="shared" si="63"/>
        <v>-1</v>
      </c>
      <c r="R134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4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24962.5</v>
      </c>
      <c r="T134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25402.5</v>
      </c>
      <c r="U134" s="186">
        <f ca="1">IF(Tabla336106734811[[#This Row],[Equity]]&lt;Tabla336106734811[[#This Row],[Equity Peak]],(Tabla336106734811[[#This Row],[Equity Peak]]-Tabla336106734811[[#This Row],[Equity]])/Tabla336106734811[[#This Row],[Equity Peak]],"")</f>
        <v>1.7321129810058067E-2</v>
      </c>
      <c r="V134" s="187">
        <f t="shared" si="64"/>
        <v>0</v>
      </c>
      <c r="W134" s="187">
        <f t="shared" si="65"/>
        <v>0</v>
      </c>
      <c r="X134" s="187">
        <f t="shared" si="66"/>
        <v>0</v>
      </c>
      <c r="Y134" s="187">
        <f t="shared" si="67"/>
        <v>0</v>
      </c>
      <c r="Z134" s="187">
        <f t="shared" si="68"/>
        <v>-1</v>
      </c>
      <c r="AA134" s="183">
        <f t="shared" si="69"/>
        <v>0</v>
      </c>
      <c r="AB134" s="187">
        <f t="shared" si="70"/>
        <v>0</v>
      </c>
      <c r="AC134" s="183">
        <f t="shared" si="71"/>
        <v>0</v>
      </c>
      <c r="AD134" s="188">
        <f t="shared" si="72"/>
        <v>0.43333333333430346</v>
      </c>
      <c r="AE134" s="188">
        <f t="shared" si="73"/>
        <v>0</v>
      </c>
      <c r="AF134" s="188">
        <f t="shared" si="74"/>
        <v>0.43333333333430346</v>
      </c>
      <c r="AG134" s="188">
        <f t="shared" si="75"/>
        <v>0</v>
      </c>
    </row>
    <row r="135" spans="2:33" ht="15" customHeight="1" x14ac:dyDescent="0.15">
      <c r="B135" s="174" t="s">
        <v>5</v>
      </c>
      <c r="C135" s="175" t="s">
        <v>15</v>
      </c>
      <c r="D135" s="176" t="str">
        <f t="shared" si="57"/>
        <v>C</v>
      </c>
      <c r="E135" s="177" t="d">
        <v>2021-01-13T18:00:00.000</v>
      </c>
      <c r="F135" s="178" t="s">
        <v>81</v>
      </c>
      <c r="G135" s="179">
        <v>12982.7</v>
      </c>
      <c r="H135" s="179">
        <v>12928.38</v>
      </c>
      <c r="I135" s="180">
        <f t="shared" si="58"/>
        <v>54.320000000001528</v>
      </c>
      <c r="J135" s="179">
        <v>13308.64</v>
      </c>
      <c r="K135" s="177" t="d">
        <v>2021-01-14T05:39:00.00000029336660775</v>
      </c>
      <c r="L135" s="179">
        <v>12941.19</v>
      </c>
      <c r="M135" s="181">
        <f t="shared" si="59"/>
        <v>-41.51</v>
      </c>
      <c r="N135" s="182">
        <f t="shared" si="60"/>
        <v>-0.76</v>
      </c>
      <c r="O135" s="183">
        <f t="shared" si="61"/>
        <v>0</v>
      </c>
      <c r="P135" s="184">
        <f t="shared" si="62"/>
        <v>0</v>
      </c>
      <c r="Q135" s="184">
        <f t="shared" si="63"/>
        <v>-0.76</v>
      </c>
      <c r="R135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5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25212.5</v>
      </c>
      <c r="T135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25402.5</v>
      </c>
      <c r="U135" s="186">
        <f ca="1">IF(Tabla336106734811[[#This Row],[Equity]]&lt;Tabla336106734811[[#This Row],[Equity Peak]],(Tabla336106734811[[#This Row],[Equity Peak]]-Tabla336106734811[[#This Row],[Equity]])/Tabla336106734811[[#This Row],[Equity Peak]],"")</f>
        <v>7.4795787816159826E-3</v>
      </c>
      <c r="V135" s="187">
        <f t="shared" si="64"/>
        <v>0</v>
      </c>
      <c r="W135" s="187">
        <f t="shared" si="65"/>
        <v>0</v>
      </c>
      <c r="X135" s="187">
        <f t="shared" si="66"/>
        <v>0</v>
      </c>
      <c r="Y135" s="187">
        <f t="shared" si="67"/>
        <v>0</v>
      </c>
      <c r="Z135" s="187">
        <f t="shared" si="68"/>
        <v>-0.76</v>
      </c>
      <c r="AA135" s="183">
        <f t="shared" si="69"/>
        <v>0</v>
      </c>
      <c r="AB135" s="187">
        <f t="shared" si="70"/>
        <v>0</v>
      </c>
      <c r="AC135" s="183">
        <f t="shared" si="71"/>
        <v>0</v>
      </c>
      <c r="AD135" s="188">
        <f t="shared" si="72"/>
        <v>0.48541666667006211</v>
      </c>
      <c r="AE135" s="188">
        <f t="shared" si="73"/>
        <v>0</v>
      </c>
      <c r="AF135" s="188">
        <f t="shared" si="74"/>
        <v>0.48541666667006211</v>
      </c>
      <c r="AG135" s="188">
        <f t="shared" si="75"/>
        <v>0</v>
      </c>
    </row>
    <row r="136" spans="2:33" ht="15" customHeight="1" x14ac:dyDescent="0.15">
      <c r="B136" s="174" t="s">
        <v>5</v>
      </c>
      <c r="C136" s="175" t="s">
        <v>15</v>
      </c>
      <c r="D136" s="176" t="str">
        <f t="shared" si="57"/>
        <v>C</v>
      </c>
      <c r="E136" s="177" t="d">
        <v>2021-01-07T17:00:00.00000020954757600</v>
      </c>
      <c r="F136" s="178" t="s">
        <v>81</v>
      </c>
      <c r="G136" s="179">
        <v>12849.2</v>
      </c>
      <c r="H136" s="179">
        <v>12763.31</v>
      </c>
      <c r="I136" s="180">
        <f t="shared" si="58"/>
        <v>85.890000000001237</v>
      </c>
      <c r="J136" s="179">
        <v>13364.51</v>
      </c>
      <c r="K136" s="177" t="d">
        <v>2021-01-08T17:23:59.99999987427145575</v>
      </c>
      <c r="L136" s="179">
        <v>12986.01</v>
      </c>
      <c r="M136" s="181">
        <f t="shared" si="59"/>
        <v>136.81</v>
      </c>
      <c r="N136" s="182">
        <f t="shared" si="60"/>
        <v>1.59</v>
      </c>
      <c r="O136" s="183">
        <f t="shared" si="61"/>
        <v>0</v>
      </c>
      <c r="P136" s="184">
        <f t="shared" si="62"/>
        <v>1.59</v>
      </c>
      <c r="Q136" s="184">
        <f t="shared" si="63"/>
        <v>0</v>
      </c>
      <c r="R136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6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25402.5</v>
      </c>
      <c r="T136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25402.5</v>
      </c>
      <c r="U136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36" s="187">
        <f t="shared" si="64"/>
        <v>0</v>
      </c>
      <c r="W136" s="187">
        <f t="shared" si="65"/>
        <v>0</v>
      </c>
      <c r="X136" s="187">
        <f t="shared" si="66"/>
        <v>0</v>
      </c>
      <c r="Y136" s="187">
        <f t="shared" si="67"/>
        <v>0</v>
      </c>
      <c r="Z136" s="187">
        <f t="shared" si="68"/>
        <v>1.59</v>
      </c>
      <c r="AA136" s="183">
        <f t="shared" si="69"/>
        <v>0</v>
      </c>
      <c r="AB136" s="187">
        <f t="shared" si="70"/>
        <v>0</v>
      </c>
      <c r="AC136" s="183">
        <f t="shared" si="71"/>
        <v>0</v>
      </c>
      <c r="AD136" s="188">
        <f t="shared" si="72"/>
        <v>1.0166666666627862</v>
      </c>
      <c r="AE136" s="188">
        <f t="shared" si="73"/>
        <v>1.0166666666627862</v>
      </c>
      <c r="AF136" s="188">
        <f t="shared" si="74"/>
        <v>0</v>
      </c>
      <c r="AG136" s="188">
        <f t="shared" si="75"/>
        <v>0</v>
      </c>
    </row>
    <row r="137" spans="2:33" ht="15" customHeight="1" x14ac:dyDescent="0.15">
      <c r="B137" s="174" t="s">
        <v>5</v>
      </c>
      <c r="C137" s="175" t="s">
        <v>13</v>
      </c>
      <c r="D137" s="176" t="str">
        <f t="shared" si="57"/>
        <v>C</v>
      </c>
      <c r="E137" s="177" t="d">
        <v>2021-01-06T09:59:59.99999979045242400</v>
      </c>
      <c r="F137" s="178" t="s">
        <v>81</v>
      </c>
      <c r="G137" s="179">
        <v>12579.9</v>
      </c>
      <c r="H137" s="179">
        <v>12656.63</v>
      </c>
      <c r="I137" s="180">
        <f t="shared" si="58"/>
        <v>76.729999999999563</v>
      </c>
      <c r="J137" s="179">
        <v>12119.55</v>
      </c>
      <c r="K137" s="177" t="d">
        <v>2021-01-06T14:06:59.99999969266355025</v>
      </c>
      <c r="L137" s="179">
        <v>12630.03</v>
      </c>
      <c r="M137" s="181">
        <f t="shared" si="59"/>
        <v>-50.13</v>
      </c>
      <c r="N137" s="182">
        <f t="shared" si="60"/>
        <v>-0.65</v>
      </c>
      <c r="O137" s="183">
        <f t="shared" si="61"/>
        <v>0</v>
      </c>
      <c r="P137" s="184">
        <f t="shared" si="62"/>
        <v>0</v>
      </c>
      <c r="Q137" s="184">
        <f t="shared" si="63"/>
        <v>-0.65</v>
      </c>
      <c r="R137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7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25005</v>
      </c>
      <c r="T137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25167.5</v>
      </c>
      <c r="U137" s="186">
        <f ca="1">IF(Tabla336106734811[[#This Row],[Equity]]&lt;Tabla336106734811[[#This Row],[Equity Peak]],(Tabla336106734811[[#This Row],[Equity Peak]]-Tabla336106734811[[#This Row],[Equity]])/Tabla336106734811[[#This Row],[Equity Peak]],"")</f>
        <v>6.4567398430515543E-3</v>
      </c>
      <c r="V137" s="187">
        <f t="shared" si="64"/>
        <v>0</v>
      </c>
      <c r="W137" s="187">
        <f t="shared" si="65"/>
        <v>0</v>
      </c>
      <c r="X137" s="187">
        <f t="shared" si="66"/>
        <v>0</v>
      </c>
      <c r="Y137" s="187">
        <f t="shared" si="67"/>
        <v>0</v>
      </c>
      <c r="Z137" s="187">
        <f t="shared" si="68"/>
        <v>-0.65</v>
      </c>
      <c r="AA137" s="183">
        <f t="shared" si="69"/>
        <v>0</v>
      </c>
      <c r="AB137" s="187">
        <f t="shared" si="70"/>
        <v>0</v>
      </c>
      <c r="AC137" s="183">
        <f t="shared" si="71"/>
        <v>0</v>
      </c>
      <c r="AD137" s="188">
        <f t="shared" si="72"/>
        <v>0.17152777777664596</v>
      </c>
      <c r="AE137" s="188">
        <f t="shared" si="73"/>
        <v>0</v>
      </c>
      <c r="AF137" s="188">
        <f t="shared" si="74"/>
        <v>0.17152777777664596</v>
      </c>
      <c r="AG137" s="188">
        <f t="shared" si="75"/>
        <v>0</v>
      </c>
    </row>
    <row r="138" spans="2:33" ht="15" customHeight="1" x14ac:dyDescent="0.15">
      <c r="B138" s="174" t="s">
        <v>5</v>
      </c>
      <c r="C138" s="175" t="s">
        <v>13</v>
      </c>
      <c r="D138" s="176" t="str">
        <f t="shared" si="57"/>
        <v>C</v>
      </c>
      <c r="E138" s="177" t="d">
        <v>2021-01-04T18:59:59.99999979045242400</v>
      </c>
      <c r="F138" s="178" t="s">
        <v>81</v>
      </c>
      <c r="G138" s="179">
        <v>12642.9</v>
      </c>
      <c r="H138" s="179">
        <v>12682.98</v>
      </c>
      <c r="I138" s="180">
        <f t="shared" si="58"/>
        <v>40.079999999999927</v>
      </c>
      <c r="J138" s="179">
        <v>12402.39</v>
      </c>
      <c r="K138" s="177" t="d">
        <v>2021-01-04T19:24:00.00000008381903175</v>
      </c>
      <c r="L138" s="179">
        <v>12593.19</v>
      </c>
      <c r="M138" s="181">
        <f t="shared" si="59"/>
        <v>49.71</v>
      </c>
      <c r="N138" s="182">
        <f t="shared" si="60"/>
        <v>1.24</v>
      </c>
      <c r="O138" s="183">
        <f t="shared" si="61"/>
        <v>0</v>
      </c>
      <c r="P138" s="184">
        <f t="shared" si="62"/>
        <v>1.24</v>
      </c>
      <c r="Q138" s="184">
        <f t="shared" si="63"/>
        <v>0</v>
      </c>
      <c r="R138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38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25167.5</v>
      </c>
      <c r="T138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25167.5</v>
      </c>
      <c r="U138" s="186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38" s="187">
        <f t="shared" si="64"/>
        <v>0</v>
      </c>
      <c r="W138" s="187">
        <f t="shared" si="65"/>
        <v>0</v>
      </c>
      <c r="X138" s="187">
        <f t="shared" si="66"/>
        <v>0</v>
      </c>
      <c r="Y138" s="187">
        <f t="shared" si="67"/>
        <v>0</v>
      </c>
      <c r="Z138" s="187">
        <f t="shared" si="68"/>
        <v>1.24</v>
      </c>
      <c r="AA138" s="183">
        <f t="shared" si="69"/>
        <v>0</v>
      </c>
      <c r="AB138" s="187">
        <f t="shared" si="70"/>
        <v>0</v>
      </c>
      <c r="AC138" s="183">
        <f t="shared" si="71"/>
        <v>0</v>
      </c>
      <c r="AD138" s="188">
        <f t="shared" si="72"/>
        <v>1.6666666670062114E-2</v>
      </c>
      <c r="AE138" s="188">
        <f t="shared" si="73"/>
        <v>1.6666666670062114E-2</v>
      </c>
      <c r="AF138" s="188">
        <f t="shared" si="74"/>
        <v>0</v>
      </c>
      <c r="AG138" s="188">
        <f t="shared" si="75"/>
        <v>0</v>
      </c>
    </row>
    <row r="139" spans="2:33" ht="15" customHeight="1" x14ac:dyDescent="0.15">
      <c r="B139" s="174" t="s">
        <v>5</v>
      </c>
      <c r="C139" s="175" t="s">
        <v>15</v>
      </c>
      <c r="D139" s="176" t="str">
        <f t="shared" si="57"/>
        <v>C</v>
      </c>
      <c r="E139" s="177" t="d">
        <v>2021-01-04T09:14:59.99999979045242400</v>
      </c>
      <c r="F139" s="178" t="s">
        <v>81</v>
      </c>
      <c r="G139" s="179">
        <v>12928.1</v>
      </c>
      <c r="H139" s="179">
        <v>12894.89</v>
      </c>
      <c r="I139" s="180">
        <f t="shared" si="58"/>
        <v>33.210000000000946</v>
      </c>
      <c r="J139" s="179">
        <v>13127.38</v>
      </c>
      <c r="K139" s="177" t="d">
        <v>2021-01-04T16:35:59.99999991618096825</v>
      </c>
      <c r="L139" s="179">
        <v>12909.06</v>
      </c>
      <c r="M139" s="181">
        <f t="shared" si="59"/>
        <v>-19.04</v>
      </c>
      <c r="N139" s="182">
        <f t="shared" si="60"/>
        <v>-0.56999999999999995</v>
      </c>
      <c r="O139" s="183">
        <f t="shared" si="61"/>
        <v>0</v>
      </c>
      <c r="P139" s="184">
        <f t="shared" si="62"/>
        <v>0</v>
      </c>
      <c r="Q139" s="184">
        <f t="shared" si="63"/>
        <v>-0.56999999999999995</v>
      </c>
      <c r="R139" s="184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Yes</v>
      </c>
      <c r="S139" s="185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24857.5</v>
      </c>
      <c r="T139" s="185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25000</v>
      </c>
      <c r="U139" s="186">
        <f ca="1">IF(Tabla336106734811[[#This Row],[Equity]]&lt;Tabla336106734811[[#This Row],[Equity Peak]],(Tabla336106734811[[#This Row],[Equity Peak]]-Tabla336106734811[[#This Row],[Equity]])/Tabla336106734811[[#This Row],[Equity Peak]],"")</f>
        <v>5.7000000000000002E-3</v>
      </c>
      <c r="V139" s="187">
        <f t="shared" si="64"/>
        <v>0</v>
      </c>
      <c r="W139" s="187">
        <f t="shared" si="65"/>
        <v>0</v>
      </c>
      <c r="X139" s="187">
        <f t="shared" si="66"/>
        <v>0</v>
      </c>
      <c r="Y139" s="187">
        <f t="shared" si="67"/>
        <v>0</v>
      </c>
      <c r="Z139" s="187">
        <f t="shared" si="68"/>
        <v>-0.56999999999999995</v>
      </c>
      <c r="AA139" s="183">
        <f t="shared" si="69"/>
        <v>0</v>
      </c>
      <c r="AB139" s="187">
        <f t="shared" si="70"/>
        <v>0</v>
      </c>
      <c r="AC139" s="183">
        <f t="shared" si="71"/>
        <v>0</v>
      </c>
      <c r="AD139" s="188">
        <f t="shared" si="72"/>
        <v>0.30625000000145519</v>
      </c>
      <c r="AE139" s="188">
        <f t="shared" si="73"/>
        <v>0</v>
      </c>
      <c r="AF139" s="188">
        <f t="shared" si="74"/>
        <v>0.30625000000145519</v>
      </c>
      <c r="AG139" s="188">
        <f t="shared" si="75"/>
        <v>0</v>
      </c>
    </row>
  </sheetData>
  <sheetProtection algorithmName="SHA-512" hashValue="g0GeDBKDGdystDh7p6jsuLJlHCMKyndg1LSnjbIoX6r8Zu6A1I9RzcxihDFC4vf1OGNV23ok4jkRDhpwmRT8ug==" saltValue="cF6SGikVZv+nNd/ecvN1Bw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83" priority="3" operator="equal">
      <formula>"OK"</formula>
    </cfRule>
    <cfRule type="cellIs" dxfId="82" priority="4" operator="equal">
      <formula>"warning"</formula>
    </cfRule>
  </conditionalFormatting>
  <conditionalFormatting sqref="F13">
    <cfRule type="cellIs" dxfId="81" priority="1" operator="equal">
      <formula>"OK"</formula>
    </cfRule>
    <cfRule type="cellIs" dxfId="80" priority="2" operator="equal">
      <formula>"Error!!"</formula>
    </cfRule>
  </conditionalFormatting>
  <conditionalFormatting sqref="E15:H15 K15:L15">
    <cfRule type="expression" dxfId="79" priority="5">
      <formula>+$D15=#REF!</formula>
    </cfRule>
    <cfRule type="expression" dxfId="78" priority="6">
      <formula>+$D15=#REF!</formula>
    </cfRule>
  </conditionalFormatting>
  <conditionalFormatting sqref="D15 K16:L16 D16:H139 J17:L139">
    <cfRule type="expression" dxfId="77" priority="7">
      <formula>+$D15=$AG$8</formula>
    </cfRule>
    <cfRule type="expression" dxfId="76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7:B139" xr:uid="{7D20BD0C-54F0-42C1-8CF4-285D357A1383}">
      <formula1>$AE$4:$AE$7</formula1>
    </dataValidation>
    <dataValidation type="list" allowBlank="1" showInputMessage="1" showErrorMessage="1" promptTitle="Instrument Type" prompt="Select Type from List_x000a_" sqref="B15:B16" xr:uid="{321AB621-6E27-46C1-B973-C9CCECB36BD9}">
      <formula1>$AE$4:$AE$6</formula1>
    </dataValidation>
    <dataValidation type="list" allowBlank="1" showInputMessage="1" showErrorMessage="1" promptTitle="Trade Direction" prompt="Select from List" sqref="C15:C17" xr:uid="{6CE6270A-BAC0-4ABD-99F0-943D5461B873}">
      <formula1>$AG$4:$AG$5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668B-023F-4025-8065-BA49B1D6490F}">
  <sheetPr codeName="Hoja18">
    <pageSetUpPr fitToPage="1"/>
  </sheetPr>
  <dimension ref="A1:AX213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E2" sqref="E2:N5"/>
    </sheetView>
  </sheetViews>
  <sheetFormatPr baseColWidth="10" defaultColWidth="0" defaultRowHeight="15" customHeight="1" x14ac:dyDescent="0.15"/>
  <cols>
    <col min="1" max="1" width="2.33203125" style="117" customWidth="1"/>
    <col min="2" max="2" width="10.33203125" style="88" customWidth="1"/>
    <col min="3" max="3" width="12.6640625" style="90" customWidth="1"/>
    <col min="4" max="4" width="8.6640625" style="91" customWidth="1"/>
    <col min="5" max="5" width="13.6640625" style="107" customWidth="1"/>
    <col min="6" max="6" width="8.33203125" style="88" customWidth="1"/>
    <col min="7" max="7" width="10.6640625" style="88" bestFit="1" customWidth="1"/>
    <col min="8" max="8" width="9.83203125" style="88" bestFit="1" customWidth="1"/>
    <col min="9" max="9" width="15.33203125" style="88" customWidth="1"/>
    <col min="10" max="10" width="12.83203125" style="88" customWidth="1"/>
    <col min="11" max="11" width="12.6640625" style="107" customWidth="1"/>
    <col min="12" max="12" width="10.33203125" style="88" customWidth="1"/>
    <col min="13" max="13" width="10.1640625" style="89" customWidth="1"/>
    <col min="14" max="14" width="12.1640625" style="89" customWidth="1"/>
    <col min="15" max="15" width="8.6640625" style="89" hidden="1" customWidth="1"/>
    <col min="16" max="16" width="10.33203125" style="89" customWidth="1"/>
    <col min="17" max="17" width="11" style="89" customWidth="1"/>
    <col min="18" max="18" width="11" style="89" hidden="1" customWidth="1"/>
    <col min="19" max="20" width="11" style="96" hidden="1" customWidth="1"/>
    <col min="21" max="21" width="11" style="102" hidden="1" customWidth="1"/>
    <col min="22" max="22" width="9.33203125" style="89" bestFit="1" customWidth="1"/>
    <col min="23" max="23" width="9.33203125" style="89" hidden="1" customWidth="1"/>
    <col min="24" max="24" width="7.6640625" style="89" customWidth="1"/>
    <col min="25" max="25" width="9.33203125" style="89" hidden="1" customWidth="1"/>
    <col min="26" max="26" width="8.1640625" style="89" bestFit="1" customWidth="1"/>
    <col min="27" max="27" width="8.33203125" style="89" hidden="1" customWidth="1"/>
    <col min="28" max="28" width="8.1640625" style="89" customWidth="1"/>
    <col min="29" max="29" width="8.1640625" style="89" hidden="1" customWidth="1"/>
    <col min="30" max="30" width="9.6640625" style="89" customWidth="1"/>
    <col min="31" max="31" width="8.1640625" style="89" customWidth="1"/>
    <col min="32" max="32" width="8" style="89" customWidth="1"/>
    <col min="33" max="33" width="6.6640625" style="88" customWidth="1"/>
    <col min="34" max="34" width="2.5" style="117" customWidth="1"/>
    <col min="35" max="35" width="7.33203125" style="87" hidden="1" customWidth="1"/>
    <col min="36" max="41" width="2.6640625" style="88" hidden="1" customWidth="1"/>
    <col min="42" max="42" width="4.6640625" style="88" hidden="1" customWidth="1"/>
    <col min="43" max="43" width="7.6640625" style="88" hidden="1" customWidth="1"/>
    <col min="44" max="44" width="8.6640625" style="88" hidden="1" customWidth="1"/>
    <col min="45" max="45" width="12.33203125" style="88" hidden="1" customWidth="1"/>
    <col min="46" max="46" width="2.1640625" style="88" hidden="1" customWidth="1"/>
    <col min="47" max="47" width="2.6640625" style="88" hidden="1" customWidth="1"/>
    <col min="48" max="50" width="39.33203125" style="88" hidden="1" customWidth="1"/>
    <col min="51" max="16384" width="2.6640625" style="88" hidden="1"/>
  </cols>
  <sheetData>
    <row r="1" spans="1:48" s="87" customFormat="1" ht="15" customHeight="1" x14ac:dyDescent="0.15">
      <c r="A1" s="116"/>
      <c r="B1" s="119"/>
      <c r="C1" s="118"/>
      <c r="D1" s="118"/>
      <c r="E1" s="120"/>
      <c r="F1" s="116"/>
      <c r="G1" s="116"/>
      <c r="H1" s="116"/>
      <c r="I1" s="116"/>
      <c r="J1" s="116"/>
      <c r="K1" s="120"/>
      <c r="L1" s="121"/>
      <c r="M1" s="122"/>
      <c r="N1" s="122"/>
      <c r="O1" s="2"/>
      <c r="P1" s="134"/>
      <c r="Q1" s="134"/>
      <c r="R1" s="134"/>
      <c r="S1" s="135"/>
      <c r="T1" s="135"/>
      <c r="U1" s="136"/>
      <c r="V1" s="134"/>
      <c r="W1" s="134"/>
      <c r="X1" s="134"/>
      <c r="Y1" s="134"/>
      <c r="Z1" s="134"/>
      <c r="AA1" s="134"/>
      <c r="AB1" s="147"/>
      <c r="AC1" s="1"/>
      <c r="AD1" s="147"/>
      <c r="AE1" s="147"/>
      <c r="AF1" s="147"/>
      <c r="AG1" s="147"/>
      <c r="AH1" s="147"/>
    </row>
    <row r="2" spans="1:48" ht="15" customHeight="1" thickBot="1" x14ac:dyDescent="0.2">
      <c r="B2" s="117"/>
      <c r="C2" s="118"/>
      <c r="D2" s="123"/>
      <c r="E2" s="189" t="s">
        <v>105</v>
      </c>
      <c r="F2" s="189"/>
      <c r="G2" s="189"/>
      <c r="H2" s="189"/>
      <c r="I2" s="189"/>
      <c r="J2" s="189"/>
      <c r="K2" s="189"/>
      <c r="L2" s="189"/>
      <c r="M2" s="189"/>
      <c r="N2" s="189"/>
      <c r="O2" s="115"/>
      <c r="P2" s="137"/>
      <c r="Q2" s="137"/>
      <c r="R2" s="138"/>
      <c r="S2" s="139"/>
      <c r="T2" s="139"/>
      <c r="U2" s="140"/>
      <c r="V2" s="141"/>
      <c r="W2" s="141"/>
      <c r="X2" s="141"/>
      <c r="Y2" s="141"/>
      <c r="Z2" s="141"/>
      <c r="AA2" s="141"/>
      <c r="AB2" s="141"/>
      <c r="AC2" s="3"/>
      <c r="AD2" s="147"/>
      <c r="AE2" s="147"/>
      <c r="AF2" s="147"/>
      <c r="AG2" s="147"/>
      <c r="AH2" s="141"/>
    </row>
    <row r="3" spans="1:48" ht="15" customHeight="1" thickBot="1" x14ac:dyDescent="0.2">
      <c r="B3" s="117"/>
      <c r="C3" s="124"/>
      <c r="D3" s="123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15"/>
      <c r="P3" s="137"/>
      <c r="Q3" s="137"/>
      <c r="R3" s="138"/>
      <c r="S3" s="139"/>
      <c r="T3" s="139"/>
      <c r="U3" s="140"/>
      <c r="V3" s="141"/>
      <c r="W3" s="141"/>
      <c r="X3" s="141"/>
      <c r="Y3" s="141"/>
      <c r="Z3" s="141"/>
      <c r="AA3" s="141"/>
      <c r="AB3" s="141"/>
      <c r="AC3" s="3"/>
      <c r="AD3" s="4" t="s">
        <v>76</v>
      </c>
      <c r="AE3" s="5"/>
      <c r="AF3" s="4" t="s">
        <v>17</v>
      </c>
      <c r="AG3" s="6"/>
    </row>
    <row r="4" spans="1:48" ht="15" customHeight="1" x14ac:dyDescent="0.15">
      <c r="B4" s="117"/>
      <c r="C4" s="124"/>
      <c r="D4" s="123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15"/>
      <c r="P4" s="137"/>
      <c r="Q4" s="137"/>
      <c r="R4" s="138"/>
      <c r="S4" s="139"/>
      <c r="T4" s="139"/>
      <c r="U4" s="140"/>
      <c r="V4" s="141"/>
      <c r="W4" s="141"/>
      <c r="X4" s="141"/>
      <c r="Y4" s="141"/>
      <c r="Z4" s="141"/>
      <c r="AA4" s="141"/>
      <c r="AB4" s="141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88">
        <f>+IF(F13="OK",1,0)</f>
        <v>1</v>
      </c>
    </row>
    <row r="5" spans="1:48" ht="15" customHeight="1" thickBot="1" x14ac:dyDescent="0.2">
      <c r="B5" s="117"/>
      <c r="C5" s="124"/>
      <c r="D5" s="123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15"/>
      <c r="P5" s="137"/>
      <c r="Q5" s="137"/>
      <c r="R5" s="138"/>
      <c r="S5" s="139"/>
      <c r="T5" s="139"/>
      <c r="U5" s="140"/>
      <c r="V5" s="148" t="s">
        <v>7</v>
      </c>
      <c r="W5" s="134"/>
      <c r="X5" s="148" t="s">
        <v>6</v>
      </c>
      <c r="Y5" s="149"/>
      <c r="Z5" s="148" t="s">
        <v>5</v>
      </c>
      <c r="AA5" s="149"/>
      <c r="AB5" s="148" t="s">
        <v>73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88">
        <f>+IF(AS4=1,0,1)</f>
        <v>0</v>
      </c>
    </row>
    <row r="6" spans="1:48" ht="33" customHeight="1" thickBot="1" x14ac:dyDescent="0.2">
      <c r="B6" s="117"/>
      <c r="C6" s="124"/>
      <c r="D6" s="125"/>
      <c r="E6" s="108" t="s">
        <v>10</v>
      </c>
      <c r="F6" s="14">
        <f>COUNTA(Tabla336106734812[Inst])</f>
        <v>197</v>
      </c>
      <c r="G6" s="15" t="s">
        <v>9</v>
      </c>
      <c r="H6" s="15" t="s">
        <v>8</v>
      </c>
      <c r="I6" s="15" t="s">
        <v>61</v>
      </c>
      <c r="J6" s="77" t="s">
        <v>62</v>
      </c>
      <c r="K6" s="127"/>
      <c r="L6" s="199" t="s">
        <v>100</v>
      </c>
      <c r="M6" s="200"/>
      <c r="N6" s="203">
        <f>N13</f>
        <v>48.10000000000003</v>
      </c>
      <c r="O6" s="16"/>
      <c r="P6" s="141"/>
      <c r="Q6" s="142" t="s">
        <v>47</v>
      </c>
      <c r="R6" s="142"/>
      <c r="S6" s="143"/>
      <c r="T6" s="143"/>
      <c r="U6" s="144"/>
      <c r="V6" s="17">
        <f>+V13</f>
        <v>0</v>
      </c>
      <c r="W6" s="18"/>
      <c r="X6" s="17">
        <f>+X13</f>
        <v>0</v>
      </c>
      <c r="Y6" s="19"/>
      <c r="Z6" s="17">
        <f>+Z13</f>
        <v>48.10000000000003</v>
      </c>
      <c r="AA6" s="19"/>
      <c r="AB6" s="17">
        <f>+AB13</f>
        <v>0</v>
      </c>
      <c r="AC6" s="84"/>
      <c r="AD6" s="11" t="s">
        <v>18</v>
      </c>
      <c r="AE6" s="12" t="s">
        <v>5</v>
      </c>
      <c r="AF6" s="20"/>
      <c r="AG6" s="22"/>
    </row>
    <row r="7" spans="1:48" ht="15" customHeight="1" thickBot="1" x14ac:dyDescent="0.2">
      <c r="B7" s="117"/>
      <c r="C7" s="118"/>
      <c r="D7" s="117"/>
      <c r="E7" s="109" t="s">
        <v>4</v>
      </c>
      <c r="F7" s="23">
        <f>COUNTIF(Tabla336106734812[No. of Rs],"&gt;0")</f>
        <v>86</v>
      </c>
      <c r="G7" s="24">
        <f>IFERROR((F7/$F$6),"")</f>
        <v>0.43654822335025378</v>
      </c>
      <c r="H7" s="78">
        <f>IFERROR((+P13/F7),"")</f>
        <v>1.421744186046511</v>
      </c>
      <c r="I7" s="205">
        <f>H7/H9</f>
        <v>2.1277282547008598</v>
      </c>
      <c r="J7" s="205">
        <f>AVERAGE(Tabla336106734812[No. of Rs])</f>
        <v>0.2441624365482235</v>
      </c>
      <c r="K7" s="127"/>
      <c r="L7" s="201"/>
      <c r="M7" s="202"/>
      <c r="N7" s="204"/>
      <c r="O7" s="16"/>
      <c r="P7" s="141"/>
      <c r="Q7" s="142" t="s">
        <v>2</v>
      </c>
      <c r="R7" s="142"/>
      <c r="S7" s="143"/>
      <c r="T7" s="143"/>
      <c r="U7" s="144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85"/>
      <c r="AD7" s="20" t="s">
        <v>75</v>
      </c>
      <c r="AE7" s="21" t="s">
        <v>73</v>
      </c>
      <c r="AF7" s="4" t="s">
        <v>37</v>
      </c>
      <c r="AG7" s="6"/>
    </row>
    <row r="8" spans="1:48" ht="23" customHeight="1" thickBot="1" x14ac:dyDescent="0.2">
      <c r="B8" s="117"/>
      <c r="C8" s="118"/>
      <c r="D8" s="117"/>
      <c r="E8" s="109" t="s">
        <v>3</v>
      </c>
      <c r="F8" s="23">
        <f>COUNTIF(Tabla336106734812[No. of Rs],"=0")</f>
        <v>0</v>
      </c>
      <c r="G8" s="24">
        <f>IFERROR((F8/$F$6),"")</f>
        <v>0</v>
      </c>
      <c r="H8" s="78"/>
      <c r="I8" s="206"/>
      <c r="J8" s="206"/>
      <c r="K8" s="141"/>
      <c r="L8" s="190" t="s">
        <v>101</v>
      </c>
      <c r="M8" s="191"/>
      <c r="N8" s="173">
        <f ca="1">OFFSET(Tabla336106734812[[#Headers],[Equity]],1,0)</f>
        <v>37025</v>
      </c>
      <c r="O8" s="16"/>
      <c r="P8" s="141"/>
      <c r="Q8" s="142" t="s">
        <v>63</v>
      </c>
      <c r="R8" s="142"/>
      <c r="S8" s="143"/>
      <c r="T8" s="143"/>
      <c r="U8" s="144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86"/>
      <c r="AD8" s="141"/>
      <c r="AE8" s="141"/>
      <c r="AF8" s="7" t="s">
        <v>31</v>
      </c>
      <c r="AG8" s="9" t="s">
        <v>33</v>
      </c>
    </row>
    <row r="9" spans="1:48" ht="15" customHeight="1" thickBot="1" x14ac:dyDescent="0.2">
      <c r="B9" s="117"/>
      <c r="C9" s="118"/>
      <c r="D9" s="126"/>
      <c r="E9" s="110" t="s">
        <v>1</v>
      </c>
      <c r="F9" s="31">
        <f>COUNTIF(Tabla336106734812[No. of Rs],"&lt;0")</f>
        <v>111</v>
      </c>
      <c r="G9" s="32">
        <f>IFERROR((F9/$F$6),"")</f>
        <v>0.56345177664974622</v>
      </c>
      <c r="H9" s="79">
        <f>IFERROR((-Q13/F9),"")</f>
        <v>0.66819819819819803</v>
      </c>
      <c r="I9" s="207"/>
      <c r="J9" s="207"/>
      <c r="K9" s="127"/>
      <c r="L9" s="208" t="s">
        <v>95</v>
      </c>
      <c r="M9" s="209"/>
      <c r="N9" s="103">
        <f ca="1">MAX(Tabla336106734812[Drawdown])</f>
        <v>5.0988755331523847E-2</v>
      </c>
      <c r="O9" s="16"/>
      <c r="P9" s="141"/>
      <c r="Q9" s="142" t="s">
        <v>60</v>
      </c>
      <c r="R9" s="142"/>
      <c r="S9" s="143"/>
      <c r="T9" s="143"/>
      <c r="U9" s="144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86"/>
      <c r="AD9" s="141"/>
      <c r="AE9" s="141"/>
      <c r="AF9" s="11" t="s">
        <v>32</v>
      </c>
      <c r="AG9" s="13" t="s">
        <v>34</v>
      </c>
    </row>
    <row r="10" spans="1:48" ht="15" customHeight="1" thickBot="1" x14ac:dyDescent="0.2">
      <c r="B10" s="117"/>
      <c r="C10" s="118"/>
      <c r="D10" s="126"/>
      <c r="E10" s="127"/>
      <c r="F10" s="117"/>
      <c r="G10" s="141"/>
      <c r="H10" s="141"/>
      <c r="I10" s="141"/>
      <c r="J10" s="141"/>
      <c r="K10" s="155"/>
      <c r="L10" s="208" t="s">
        <v>99</v>
      </c>
      <c r="M10" s="209"/>
      <c r="N10" s="103" t="str">
        <f ca="1">OFFSET(Tabla336106734812[[#Headers],[Drawdown]],1,0)</f>
        <v/>
      </c>
      <c r="O10" s="25"/>
      <c r="P10" s="141"/>
      <c r="Q10" s="141"/>
      <c r="R10" s="141"/>
      <c r="S10" s="145"/>
      <c r="T10" s="145"/>
      <c r="U10" s="146"/>
      <c r="V10" s="37" t="s">
        <v>53</v>
      </c>
      <c r="W10" s="38"/>
      <c r="X10" s="38">
        <f>COUNTIF(Tabla336106734812[Heat],"&lt;0")</f>
        <v>0</v>
      </c>
      <c r="Y10" s="38"/>
      <c r="Z10" s="39" t="s">
        <v>54</v>
      </c>
      <c r="AA10" s="38"/>
      <c r="AB10" s="38"/>
      <c r="AC10" s="38"/>
      <c r="AD10" s="141"/>
      <c r="AE10" s="141"/>
      <c r="AF10" s="20"/>
      <c r="AG10" s="22"/>
    </row>
    <row r="11" spans="1:48" ht="15" customHeight="1" thickBot="1" x14ac:dyDescent="0.2">
      <c r="B11" s="117"/>
      <c r="C11" s="118"/>
      <c r="D11" s="126"/>
      <c r="E11" s="111" t="s">
        <v>64</v>
      </c>
      <c r="F11" s="81">
        <v>25000</v>
      </c>
      <c r="G11" s="141"/>
      <c r="H11" s="192" t="s">
        <v>46</v>
      </c>
      <c r="I11" s="193"/>
      <c r="J11" s="80">
        <v>12</v>
      </c>
      <c r="K11" s="141"/>
      <c r="L11" s="141"/>
      <c r="M11" s="141"/>
      <c r="N11" s="141"/>
      <c r="O11" s="141"/>
      <c r="P11" s="141"/>
      <c r="Q11" s="141"/>
      <c r="R11" s="141"/>
      <c r="S11" s="145"/>
      <c r="T11" s="145"/>
      <c r="U11" s="146"/>
      <c r="V11" s="141"/>
      <c r="W11" s="141"/>
      <c r="X11" s="141"/>
      <c r="Y11" s="141"/>
      <c r="Z11" s="141"/>
      <c r="AA11" s="141"/>
      <c r="AB11" s="141"/>
      <c r="AC11" s="3"/>
      <c r="AD11" s="153"/>
      <c r="AE11" s="153"/>
      <c r="AF11" s="153"/>
      <c r="AG11" s="141"/>
      <c r="AH11" s="141"/>
    </row>
    <row r="12" spans="1:48" ht="15" customHeight="1" thickBot="1" x14ac:dyDescent="0.2">
      <c r="B12" s="117"/>
      <c r="C12" s="118"/>
      <c r="D12" s="117"/>
      <c r="E12" s="128"/>
      <c r="F12" s="117"/>
      <c r="G12" s="141"/>
      <c r="H12" s="194" t="s">
        <v>65</v>
      </c>
      <c r="I12" s="195"/>
      <c r="J12" s="82" t="str">
        <f>IF(COUNTIFS(Tabla336106734812[O/C],"O")&lt;1,"None",COUNTIFS(Tabla336106734812[O/C],"O"))</f>
        <v>None</v>
      </c>
      <c r="K12" s="155"/>
      <c r="L12" s="117"/>
      <c r="M12" s="117"/>
      <c r="N12" s="117"/>
      <c r="O12" s="117"/>
      <c r="P12" s="117"/>
      <c r="Q12" s="117"/>
      <c r="R12" s="117"/>
      <c r="S12" s="132"/>
      <c r="T12" s="132"/>
      <c r="U12" s="133"/>
      <c r="V12" s="141"/>
      <c r="W12" s="150"/>
      <c r="X12" s="151"/>
      <c r="Y12" s="151"/>
      <c r="Z12" s="152"/>
      <c r="AA12" s="151"/>
      <c r="AB12" s="152"/>
      <c r="AC12" s="40"/>
      <c r="AD12" s="196" t="s">
        <v>42</v>
      </c>
      <c r="AE12" s="197"/>
      <c r="AF12" s="197"/>
      <c r="AG12" s="198"/>
      <c r="AP12" s="89"/>
      <c r="AQ12" s="89"/>
      <c r="AR12" s="89"/>
      <c r="AS12" s="89"/>
      <c r="AT12" s="89"/>
      <c r="AV12" s="88" t="s">
        <v>12</v>
      </c>
    </row>
    <row r="13" spans="1:48" ht="15" customHeight="1" thickBot="1" x14ac:dyDescent="0.2">
      <c r="B13" s="117"/>
      <c r="C13" s="118"/>
      <c r="D13" s="117"/>
      <c r="E13" s="112" t="s">
        <v>0</v>
      </c>
      <c r="F13" s="41" t="str">
        <f>IF((+F6-SUM(F7:F9))&lt;&gt;0,"ERROR!!","OK")</f>
        <v>OK</v>
      </c>
      <c r="G13" s="141"/>
      <c r="H13" s="141"/>
      <c r="I13" s="141"/>
      <c r="J13" s="156"/>
      <c r="K13" s="155"/>
      <c r="L13" s="117"/>
      <c r="M13" s="117"/>
      <c r="N13" s="74">
        <f>SUM(Tabla336106734812[No. of Rs])</f>
        <v>48.10000000000003</v>
      </c>
      <c r="O13" s="42">
        <f>SUM(Tabla336106734812[Heat])</f>
        <v>0</v>
      </c>
      <c r="P13" s="43">
        <f>SUM(Tabla336106734812[[ TR WIN]])</f>
        <v>122.26999999999995</v>
      </c>
      <c r="Q13" s="43">
        <f>SUM(Tabla336106734812[[ TR LOSS]])</f>
        <v>-74.169999999999987</v>
      </c>
      <c r="R13" s="92"/>
      <c r="S13" s="93"/>
      <c r="T13" s="93"/>
      <c r="U13" s="99"/>
      <c r="V13" s="44">
        <f>SUM(Tabla336106734812[Currency])</f>
        <v>0</v>
      </c>
      <c r="W13" s="44">
        <f>SUM(Tabla336106734812[Heat3])</f>
        <v>0</v>
      </c>
      <c r="X13" s="44">
        <f>SUM(Tabla336106734812[Commodities])</f>
        <v>0</v>
      </c>
      <c r="Y13" s="44">
        <f>SUM(Tabla336106734812[Heat4])</f>
        <v>0</v>
      </c>
      <c r="Z13" s="44">
        <f>SUM(Tabla336106734812[Index])</f>
        <v>48.10000000000003</v>
      </c>
      <c r="AA13" s="44">
        <f>SUM(Tabla336106734812[Heat5])</f>
        <v>0</v>
      </c>
      <c r="AB13" s="44">
        <f>SUM(Tabla336106734812[Cryptocurrency])</f>
        <v>0</v>
      </c>
      <c r="AC13" s="44">
        <f>SUM(Tabla336106734812[Heat6])</f>
        <v>0</v>
      </c>
      <c r="AD13" s="75">
        <f>AVERAGEIF(Tabla336106734812[Length of 
Trade],"&lt;&gt;0")</f>
        <v>0.81108996051913662</v>
      </c>
      <c r="AE13" s="75">
        <f>AVERAGEIF(Tabla336106734812[Win],"&lt;&gt;0")</f>
        <v>1.3939599483205394</v>
      </c>
      <c r="AF13" s="75">
        <f>AVERAGEIF(Tabla336106734812[Loss],"&lt;&gt;0")</f>
        <v>0.35949699699732912</v>
      </c>
      <c r="AG13" s="76" t="e">
        <f>AVERAGEIF(Tabla336106734812[Breakeven],"&lt;&gt;0")</f>
        <v>#DIV/0!</v>
      </c>
      <c r="AP13" s="89"/>
      <c r="AV13" s="88" t="s">
        <v>11</v>
      </c>
    </row>
    <row r="14" spans="1:48" ht="15" customHeight="1" thickBot="1" x14ac:dyDescent="0.2">
      <c r="B14" s="117"/>
      <c r="C14" s="118"/>
      <c r="D14" s="117"/>
      <c r="E14" s="127"/>
      <c r="F14" s="129"/>
      <c r="G14" s="157"/>
      <c r="H14" s="157"/>
      <c r="I14" s="157"/>
      <c r="J14" s="157"/>
      <c r="K14" s="158"/>
      <c r="L14" s="129"/>
      <c r="M14" s="129"/>
      <c r="N14" s="129"/>
      <c r="O14" s="129"/>
      <c r="P14" s="129"/>
      <c r="Q14" s="129"/>
      <c r="R14" s="129"/>
      <c r="S14" s="130"/>
      <c r="T14" s="130"/>
      <c r="U14" s="131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</row>
    <row r="15" spans="1:48" s="90" customFormat="1" ht="43" thickBot="1" x14ac:dyDescent="0.2">
      <c r="A15" s="118"/>
      <c r="B15" s="45" t="s">
        <v>29</v>
      </c>
      <c r="C15" s="46" t="s">
        <v>28</v>
      </c>
      <c r="D15" s="45" t="s">
        <v>35</v>
      </c>
      <c r="E15" s="113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05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97" t="s">
        <v>98</v>
      </c>
      <c r="S15" s="94" t="s">
        <v>93</v>
      </c>
      <c r="T15" s="104" t="s">
        <v>96</v>
      </c>
      <c r="U15" s="100" t="s">
        <v>94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75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18"/>
      <c r="AI15" s="87"/>
    </row>
    <row r="16" spans="1:48" s="90" customFormat="1" ht="42" hidden="1" x14ac:dyDescent="0.15">
      <c r="A16" s="118"/>
      <c r="B16" s="60" t="s">
        <v>29</v>
      </c>
      <c r="C16" s="61" t="s">
        <v>28</v>
      </c>
      <c r="D16" s="62" t="s">
        <v>35</v>
      </c>
      <c r="E16" s="114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06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98" t="s">
        <v>98</v>
      </c>
      <c r="S16" s="95" t="s">
        <v>93</v>
      </c>
      <c r="T16" s="95" t="s">
        <v>96</v>
      </c>
      <c r="U16" s="101" t="s">
        <v>94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75</v>
      </c>
      <c r="AC16" s="68" t="s">
        <v>92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54"/>
      <c r="AI16" s="87"/>
    </row>
    <row r="17" spans="1:35" s="90" customFormat="1" ht="14" x14ac:dyDescent="0.15">
      <c r="A17" s="118"/>
      <c r="B17" s="174" t="s">
        <v>5</v>
      </c>
      <c r="C17" s="175" t="s">
        <v>15</v>
      </c>
      <c r="D17" s="176" t="str">
        <f t="shared" ref="D17:D48" si="0">IF(E17&lt;&gt;"",IF(K17&lt;&gt;"","C","O"),"")</f>
        <v>C</v>
      </c>
      <c r="E17" s="177" t="d">
        <v>2021-12-21T20:00:00.00000020954757600</v>
      </c>
      <c r="F17" s="178" t="s">
        <v>82</v>
      </c>
      <c r="G17" s="179">
        <v>4638.22</v>
      </c>
      <c r="H17" s="179">
        <v>4607.3100000000004</v>
      </c>
      <c r="I17" s="180">
        <f t="shared" ref="I17:I48" si="1">ABS(G17-H17)</f>
        <v>30.909999999999854</v>
      </c>
      <c r="J17" s="179">
        <v>4839.17</v>
      </c>
      <c r="K17" s="177" t="d">
        <v>2021-12-28T19:28:00.00000023748725325</v>
      </c>
      <c r="L17" s="179">
        <v>4789.04</v>
      </c>
      <c r="M17" s="181">
        <f t="shared" ref="M17:M48" si="2">ROUND(IF(C17="L",(L17-G17),(G17-L17)),4)</f>
        <v>150.82</v>
      </c>
      <c r="N17" s="182">
        <f t="shared" ref="N17:N48" si="3">IFERROR(ROUND((M17/I17),2),"")</f>
        <v>4.88</v>
      </c>
      <c r="O17" s="183">
        <f t="shared" ref="O17:O48" si="4">IF(D17="O",IF(N17&lt;0,N17,0),0)</f>
        <v>0</v>
      </c>
      <c r="P17" s="184">
        <f t="shared" ref="P17:P48" si="5">IF(N17&gt;= 0,N17,0)</f>
        <v>4.88</v>
      </c>
      <c r="Q17" s="184">
        <f t="shared" ref="Q17:Q48" si="6">IF(N17&lt;0,N17,0)</f>
        <v>0</v>
      </c>
      <c r="R1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37025</v>
      </c>
      <c r="T1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37025</v>
      </c>
      <c r="U17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7" s="187">
        <f t="shared" ref="V17:V48" si="7">IF(B17="FX",N17,0)</f>
        <v>0</v>
      </c>
      <c r="W17" s="187">
        <f t="shared" ref="W17:W48" si="8">IF(D17="O",IF(V17&lt;0,V17,0),0)</f>
        <v>0</v>
      </c>
      <c r="X17" s="187">
        <f t="shared" ref="X17:X48" si="9">IF(B17="COM",N17,0)</f>
        <v>0</v>
      </c>
      <c r="Y17" s="187">
        <f t="shared" ref="Y17:Y48" si="10">IF(D17="O",IF(X17&lt;0,X17,0),0)</f>
        <v>0</v>
      </c>
      <c r="Z17" s="187">
        <f t="shared" ref="Z17:Z48" si="11">IF(B17="IND",N17,0)</f>
        <v>4.88</v>
      </c>
      <c r="AA17" s="183">
        <f t="shared" ref="AA17:AA48" si="12">IF(D17="O",IF(Z17&lt;0,Z17,0),0)</f>
        <v>0</v>
      </c>
      <c r="AB17" s="187">
        <f t="shared" ref="AB17:AB48" si="13">IF(B17="CRYPTO",N17,0)</f>
        <v>0</v>
      </c>
      <c r="AC17" s="183">
        <f t="shared" ref="AC17:AC48" si="14">IF(D17="O",IF(AB17&lt;0,AB17,0),0)</f>
        <v>0</v>
      </c>
      <c r="AD17" s="188">
        <f t="shared" ref="AD17:AD48" si="15">IF(K17&lt;&gt;"",K17-E17,0)</f>
        <v>6.9777777777781012</v>
      </c>
      <c r="AE17" s="188">
        <f t="shared" ref="AE17:AE48" si="16">IF(N17&gt;0,AD17,0)</f>
        <v>6.9777777777781012</v>
      </c>
      <c r="AF17" s="188">
        <f t="shared" ref="AF17:AF48" si="17">IF(N17&lt;0,AD17,0)</f>
        <v>0</v>
      </c>
      <c r="AG17" s="188">
        <f t="shared" ref="AG17:AG48" si="18">IF(N17=0,AD17,0)</f>
        <v>0</v>
      </c>
      <c r="AH17" s="154"/>
      <c r="AI17" s="87"/>
    </row>
    <row r="18" spans="1:35" ht="15" customHeight="1" x14ac:dyDescent="0.15">
      <c r="B18" s="174" t="s">
        <v>5</v>
      </c>
      <c r="C18" s="175" t="s">
        <v>13</v>
      </c>
      <c r="D18" s="176" t="str">
        <f t="shared" si="0"/>
        <v>C</v>
      </c>
      <c r="E18" s="177" t="d">
        <v>2021-12-17T11:15:00.000</v>
      </c>
      <c r="F18" s="178" t="s">
        <v>82</v>
      </c>
      <c r="G18" s="179">
        <v>4646.92</v>
      </c>
      <c r="H18" s="179">
        <v>4670.3900000000003</v>
      </c>
      <c r="I18" s="180">
        <f t="shared" si="1"/>
        <v>23.470000000000255</v>
      </c>
      <c r="J18" s="179">
        <v>4494.34</v>
      </c>
      <c r="K18" s="177" t="d">
        <v>2021-12-17T17:35:00.00000013969838625</v>
      </c>
      <c r="L18" s="179">
        <v>4628.99</v>
      </c>
      <c r="M18" s="181">
        <f t="shared" si="2"/>
        <v>17.93</v>
      </c>
      <c r="N18" s="182">
        <f t="shared" si="3"/>
        <v>0.76</v>
      </c>
      <c r="O18" s="183">
        <f t="shared" si="4"/>
        <v>0</v>
      </c>
      <c r="P18" s="184">
        <f t="shared" si="5"/>
        <v>0.76</v>
      </c>
      <c r="Q18" s="184">
        <f t="shared" si="6"/>
        <v>0</v>
      </c>
      <c r="R1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35805</v>
      </c>
      <c r="T1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36025</v>
      </c>
      <c r="U18" s="186">
        <f ca="1">IF(Tabla336106734812[[#This Row],[Equity]]&lt;Tabla336106734812[[#This Row],[Equity Peak]],(Tabla336106734812[[#This Row],[Equity Peak]]-Tabla336106734812[[#This Row],[Equity]])/Tabla336106734812[[#This Row],[Equity Peak]],"")</f>
        <v>6.1068702290076335E-3</v>
      </c>
      <c r="V18" s="187">
        <f t="shared" si="7"/>
        <v>0</v>
      </c>
      <c r="W18" s="187">
        <f t="shared" si="8"/>
        <v>0</v>
      </c>
      <c r="X18" s="187">
        <f t="shared" si="9"/>
        <v>0</v>
      </c>
      <c r="Y18" s="187">
        <f t="shared" si="10"/>
        <v>0</v>
      </c>
      <c r="Z18" s="187">
        <f t="shared" si="11"/>
        <v>0.76</v>
      </c>
      <c r="AA18" s="183">
        <f t="shared" si="12"/>
        <v>0</v>
      </c>
      <c r="AB18" s="187">
        <f t="shared" si="13"/>
        <v>0</v>
      </c>
      <c r="AC18" s="183">
        <f t="shared" si="14"/>
        <v>0</v>
      </c>
      <c r="AD18" s="188">
        <f t="shared" si="15"/>
        <v>0.26388888889050577</v>
      </c>
      <c r="AE18" s="188">
        <f t="shared" si="16"/>
        <v>0.26388888889050577</v>
      </c>
      <c r="AF18" s="188">
        <f t="shared" si="17"/>
        <v>0</v>
      </c>
      <c r="AG18" s="188">
        <f t="shared" si="18"/>
        <v>0</v>
      </c>
    </row>
    <row r="19" spans="1:35" ht="15" customHeight="1" x14ac:dyDescent="0.15">
      <c r="B19" s="174" t="s">
        <v>5</v>
      </c>
      <c r="C19" s="175" t="s">
        <v>13</v>
      </c>
      <c r="D19" s="176" t="str">
        <f t="shared" si="0"/>
        <v>C</v>
      </c>
      <c r="E19" s="177" t="d">
        <v>2021-12-16T21:59:59.99999979045242400</v>
      </c>
      <c r="F19" s="178" t="s">
        <v>82</v>
      </c>
      <c r="G19" s="179">
        <v>4661.07</v>
      </c>
      <c r="H19" s="179">
        <v>4684.1499999999996</v>
      </c>
      <c r="I19" s="180">
        <f t="shared" si="1"/>
        <v>23.079999999999927</v>
      </c>
      <c r="J19" s="179">
        <v>4511.03</v>
      </c>
      <c r="K19" s="177" t="d">
        <v>2021-12-16T22:37:00.00000011175870900</v>
      </c>
      <c r="L19" s="179">
        <v>4681.76</v>
      </c>
      <c r="M19" s="181">
        <f t="shared" si="2"/>
        <v>-20.69</v>
      </c>
      <c r="N19" s="182">
        <f t="shared" si="3"/>
        <v>-0.9</v>
      </c>
      <c r="O19" s="183">
        <f t="shared" si="4"/>
        <v>0</v>
      </c>
      <c r="P19" s="184">
        <f t="shared" si="5"/>
        <v>0</v>
      </c>
      <c r="Q19" s="184">
        <f t="shared" si="6"/>
        <v>-0.9</v>
      </c>
      <c r="R1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35615</v>
      </c>
      <c r="T1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36025</v>
      </c>
      <c r="U19" s="186">
        <f ca="1">IF(Tabla336106734812[[#This Row],[Equity]]&lt;Tabla336106734812[[#This Row],[Equity Peak]],(Tabla336106734812[[#This Row],[Equity Peak]]-Tabla336106734812[[#This Row],[Equity]])/Tabla336106734812[[#This Row],[Equity Peak]],"")</f>
        <v>1.1380985426786953E-2</v>
      </c>
      <c r="V19" s="187">
        <f t="shared" si="7"/>
        <v>0</v>
      </c>
      <c r="W19" s="187">
        <f t="shared" si="8"/>
        <v>0</v>
      </c>
      <c r="X19" s="187">
        <f t="shared" si="9"/>
        <v>0</v>
      </c>
      <c r="Y19" s="187">
        <f t="shared" si="10"/>
        <v>0</v>
      </c>
      <c r="Z19" s="187">
        <f t="shared" si="11"/>
        <v>-0.9</v>
      </c>
      <c r="AA19" s="183">
        <f t="shared" si="12"/>
        <v>0</v>
      </c>
      <c r="AB19" s="187">
        <f t="shared" si="13"/>
        <v>0</v>
      </c>
      <c r="AC19" s="183">
        <f t="shared" si="14"/>
        <v>0</v>
      </c>
      <c r="AD19" s="188">
        <f t="shared" si="15"/>
        <v>2.5694444448163267E-2</v>
      </c>
      <c r="AE19" s="188">
        <f t="shared" si="16"/>
        <v>0</v>
      </c>
      <c r="AF19" s="188">
        <f t="shared" si="17"/>
        <v>2.5694444448163267E-2</v>
      </c>
      <c r="AG19" s="188">
        <f t="shared" si="18"/>
        <v>0</v>
      </c>
    </row>
    <row r="20" spans="1:35" ht="15" customHeight="1" x14ac:dyDescent="0.15">
      <c r="B20" s="174" t="s">
        <v>5</v>
      </c>
      <c r="C20" s="175" t="s">
        <v>15</v>
      </c>
      <c r="D20" s="176" t="str">
        <f t="shared" si="0"/>
        <v>C</v>
      </c>
      <c r="E20" s="177" t="d">
        <v>2021-12-15T22:15:00.00000020954757600</v>
      </c>
      <c r="F20" s="178" t="s">
        <v>82</v>
      </c>
      <c r="G20" s="179">
        <v>4679.25</v>
      </c>
      <c r="H20" s="179">
        <v>4657.8999999999996</v>
      </c>
      <c r="I20" s="180">
        <f t="shared" si="1"/>
        <v>21.350000000000364</v>
      </c>
      <c r="J20" s="179">
        <v>4818.0200000000004</v>
      </c>
      <c r="K20" s="177" t="d">
        <v>2021-12-16T16:02:00.00000018160789875</v>
      </c>
      <c r="L20" s="179">
        <v>4728.33</v>
      </c>
      <c r="M20" s="181">
        <f t="shared" si="2"/>
        <v>49.08</v>
      </c>
      <c r="N20" s="182">
        <f t="shared" si="3"/>
        <v>2.2999999999999998</v>
      </c>
      <c r="O20" s="183">
        <f t="shared" si="4"/>
        <v>0</v>
      </c>
      <c r="P20" s="184">
        <f t="shared" si="5"/>
        <v>2.2999999999999998</v>
      </c>
      <c r="Q20" s="184">
        <f t="shared" si="6"/>
        <v>0</v>
      </c>
      <c r="R2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35840</v>
      </c>
      <c r="T2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36025</v>
      </c>
      <c r="U20" s="186">
        <f ca="1">IF(Tabla336106734812[[#This Row],[Equity]]&lt;Tabla336106734812[[#This Row],[Equity Peak]],(Tabla336106734812[[#This Row],[Equity Peak]]-Tabla336106734812[[#This Row],[Equity]])/Tabla336106734812[[#This Row],[Equity Peak]],"")</f>
        <v>5.1353226925746013E-3</v>
      </c>
      <c r="V20" s="187">
        <f t="shared" si="7"/>
        <v>0</v>
      </c>
      <c r="W20" s="187">
        <f t="shared" si="8"/>
        <v>0</v>
      </c>
      <c r="X20" s="187">
        <f t="shared" si="9"/>
        <v>0</v>
      </c>
      <c r="Y20" s="187">
        <f t="shared" si="10"/>
        <v>0</v>
      </c>
      <c r="Z20" s="187">
        <f t="shared" si="11"/>
        <v>2.2999999999999998</v>
      </c>
      <c r="AA20" s="183">
        <f t="shared" si="12"/>
        <v>0</v>
      </c>
      <c r="AB20" s="187">
        <f t="shared" si="13"/>
        <v>0</v>
      </c>
      <c r="AC20" s="183">
        <f t="shared" si="14"/>
        <v>0</v>
      </c>
      <c r="AD20" s="188">
        <f t="shared" si="15"/>
        <v>0.74097222222189885</v>
      </c>
      <c r="AE20" s="188">
        <f t="shared" si="16"/>
        <v>0.74097222222189885</v>
      </c>
      <c r="AF20" s="188">
        <f t="shared" si="17"/>
        <v>0</v>
      </c>
      <c r="AG20" s="188">
        <f t="shared" si="18"/>
        <v>0</v>
      </c>
    </row>
    <row r="21" spans="1:35" ht="15" customHeight="1" x14ac:dyDescent="0.15">
      <c r="B21" s="174" t="s">
        <v>5</v>
      </c>
      <c r="C21" s="175" t="s">
        <v>15</v>
      </c>
      <c r="D21" s="176" t="str">
        <f t="shared" si="0"/>
        <v>C</v>
      </c>
      <c r="E21" s="177" t="d">
        <v>2021-12-15T21:14:59.99999979045242400</v>
      </c>
      <c r="F21" s="178" t="s">
        <v>82</v>
      </c>
      <c r="G21" s="179">
        <v>4659.5</v>
      </c>
      <c r="H21" s="179">
        <v>4638.96</v>
      </c>
      <c r="I21" s="180">
        <f t="shared" si="1"/>
        <v>20.539999999999964</v>
      </c>
      <c r="J21" s="179">
        <v>4792.99</v>
      </c>
      <c r="K21" s="177" t="d">
        <v>2021-12-15T21:27:00.00000025145709525</v>
      </c>
      <c r="L21" s="179">
        <v>4638.96</v>
      </c>
      <c r="M21" s="181">
        <f t="shared" si="2"/>
        <v>-20.54</v>
      </c>
      <c r="N21" s="182">
        <f t="shared" si="3"/>
        <v>-1</v>
      </c>
      <c r="O21" s="183">
        <f t="shared" si="4"/>
        <v>0</v>
      </c>
      <c r="P21" s="184">
        <f t="shared" si="5"/>
        <v>0</v>
      </c>
      <c r="Q21" s="184">
        <f t="shared" si="6"/>
        <v>-1</v>
      </c>
      <c r="R2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35265</v>
      </c>
      <c r="T2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36025</v>
      </c>
      <c r="U21" s="186">
        <f ca="1">IF(Tabla336106734812[[#This Row],[Equity]]&lt;Tabla336106734812[[#This Row],[Equity Peak]],(Tabla336106734812[[#This Row],[Equity Peak]]-Tabla336106734812[[#This Row],[Equity]])/Tabla336106734812[[#This Row],[Equity Peak]],"")</f>
        <v>2.109646079111728E-2</v>
      </c>
      <c r="V21" s="187">
        <f t="shared" si="7"/>
        <v>0</v>
      </c>
      <c r="W21" s="187">
        <f t="shared" si="8"/>
        <v>0</v>
      </c>
      <c r="X21" s="187">
        <f t="shared" si="9"/>
        <v>0</v>
      </c>
      <c r="Y21" s="187">
        <f t="shared" si="10"/>
        <v>0</v>
      </c>
      <c r="Z21" s="187">
        <f t="shared" si="11"/>
        <v>-1</v>
      </c>
      <c r="AA21" s="183">
        <f t="shared" si="12"/>
        <v>0</v>
      </c>
      <c r="AB21" s="187">
        <f t="shared" si="13"/>
        <v>0</v>
      </c>
      <c r="AC21" s="183">
        <f t="shared" si="14"/>
        <v>0</v>
      </c>
      <c r="AD21" s="188">
        <f t="shared" si="15"/>
        <v>8.3333333386690356E-3</v>
      </c>
      <c r="AE21" s="188">
        <f t="shared" si="16"/>
        <v>0</v>
      </c>
      <c r="AF21" s="188">
        <f t="shared" si="17"/>
        <v>8.3333333386690356E-3</v>
      </c>
      <c r="AG21" s="188">
        <f t="shared" si="18"/>
        <v>0</v>
      </c>
    </row>
    <row r="22" spans="1:35" ht="15" customHeight="1" x14ac:dyDescent="0.15">
      <c r="B22" s="174" t="s">
        <v>5</v>
      </c>
      <c r="C22" s="175" t="s">
        <v>13</v>
      </c>
      <c r="D22" s="176" t="str">
        <f t="shared" si="0"/>
        <v>C</v>
      </c>
      <c r="E22" s="177" t="d">
        <v>2021-12-15T16:44:59.99999979045242400</v>
      </c>
      <c r="F22" s="178" t="s">
        <v>82</v>
      </c>
      <c r="G22" s="179">
        <v>4625.72</v>
      </c>
      <c r="H22" s="179">
        <v>4645.1499999999996</v>
      </c>
      <c r="I22" s="180">
        <f t="shared" si="1"/>
        <v>19.429999999999382</v>
      </c>
      <c r="J22" s="179">
        <v>4499.45</v>
      </c>
      <c r="K22" s="177" t="d">
        <v>2021-12-15T21:04:00.00000015366822150</v>
      </c>
      <c r="L22" s="179">
        <v>4635.37</v>
      </c>
      <c r="M22" s="181">
        <f t="shared" si="2"/>
        <v>-9.65</v>
      </c>
      <c r="N22" s="182">
        <f t="shared" si="3"/>
        <v>-0.5</v>
      </c>
      <c r="O22" s="183">
        <f t="shared" si="4"/>
        <v>0</v>
      </c>
      <c r="P22" s="184">
        <f t="shared" si="5"/>
        <v>0</v>
      </c>
      <c r="Q22" s="184">
        <f t="shared" si="6"/>
        <v>-0.5</v>
      </c>
      <c r="R2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35515</v>
      </c>
      <c r="T2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36025</v>
      </c>
      <c r="U22" s="186">
        <f ca="1">IF(Tabla336106734812[[#This Row],[Equity]]&lt;Tabla336106734812[[#This Row],[Equity Peak]],(Tabla336106734812[[#This Row],[Equity Peak]]-Tabla336106734812[[#This Row],[Equity]])/Tabla336106734812[[#This Row],[Equity Peak]],"")</f>
        <v>1.4156835530881333E-2</v>
      </c>
      <c r="V22" s="187">
        <f t="shared" si="7"/>
        <v>0</v>
      </c>
      <c r="W22" s="187">
        <f t="shared" si="8"/>
        <v>0</v>
      </c>
      <c r="X22" s="187">
        <f t="shared" si="9"/>
        <v>0</v>
      </c>
      <c r="Y22" s="187">
        <f t="shared" si="10"/>
        <v>0</v>
      </c>
      <c r="Z22" s="187">
        <f t="shared" si="11"/>
        <v>-0.5</v>
      </c>
      <c r="AA22" s="183">
        <f t="shared" si="12"/>
        <v>0</v>
      </c>
      <c r="AB22" s="187">
        <f t="shared" si="13"/>
        <v>0</v>
      </c>
      <c r="AC22" s="183">
        <f t="shared" si="14"/>
        <v>0</v>
      </c>
      <c r="AD22" s="188">
        <f t="shared" si="15"/>
        <v>0.179861111115315</v>
      </c>
      <c r="AE22" s="188">
        <f t="shared" si="16"/>
        <v>0</v>
      </c>
      <c r="AF22" s="188">
        <f t="shared" si="17"/>
        <v>0.179861111115315</v>
      </c>
      <c r="AG22" s="188">
        <f t="shared" si="18"/>
        <v>0</v>
      </c>
    </row>
    <row r="23" spans="1:35" ht="15" customHeight="1" x14ac:dyDescent="0.15">
      <c r="B23" s="174" t="s">
        <v>5</v>
      </c>
      <c r="C23" s="175" t="s">
        <v>13</v>
      </c>
      <c r="D23" s="176" t="str">
        <f t="shared" si="0"/>
        <v>C</v>
      </c>
      <c r="E23" s="177" t="d">
        <v>2021-12-14T18:00:00.000</v>
      </c>
      <c r="F23" s="178" t="s">
        <v>82</v>
      </c>
      <c r="G23" s="179">
        <v>4618.8100000000004</v>
      </c>
      <c r="H23" s="179">
        <v>4638.0600000000004</v>
      </c>
      <c r="I23" s="180">
        <f t="shared" si="1"/>
        <v>19.25</v>
      </c>
      <c r="J23" s="179">
        <v>4493.66</v>
      </c>
      <c r="K23" s="177" t="d">
        <v>2021-12-14T21:43:00.00000023748725325</v>
      </c>
      <c r="L23" s="179">
        <v>4627.7299999999996</v>
      </c>
      <c r="M23" s="181">
        <f t="shared" si="2"/>
        <v>-8.92</v>
      </c>
      <c r="N23" s="182">
        <f t="shared" si="3"/>
        <v>-0.46</v>
      </c>
      <c r="O23" s="183">
        <f t="shared" si="4"/>
        <v>0</v>
      </c>
      <c r="P23" s="184">
        <f t="shared" si="5"/>
        <v>0</v>
      </c>
      <c r="Q23" s="184">
        <f t="shared" si="6"/>
        <v>-0.46</v>
      </c>
      <c r="R2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35640</v>
      </c>
      <c r="T2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36025</v>
      </c>
      <c r="U23" s="186">
        <f ca="1">IF(Tabla336106734812[[#This Row],[Equity]]&lt;Tabla336106734812[[#This Row],[Equity Peak]],(Tabla336106734812[[#This Row],[Equity Peak]]-Tabla336106734812[[#This Row],[Equity]])/Tabla336106734812[[#This Row],[Equity Peak]],"")</f>
        <v>1.0687022900763359E-2</v>
      </c>
      <c r="V23" s="187">
        <f t="shared" si="7"/>
        <v>0</v>
      </c>
      <c r="W23" s="187">
        <f t="shared" si="8"/>
        <v>0</v>
      </c>
      <c r="X23" s="187">
        <f t="shared" si="9"/>
        <v>0</v>
      </c>
      <c r="Y23" s="187">
        <f t="shared" si="10"/>
        <v>0</v>
      </c>
      <c r="Z23" s="187">
        <f t="shared" si="11"/>
        <v>-0.46</v>
      </c>
      <c r="AA23" s="183">
        <f t="shared" si="12"/>
        <v>0</v>
      </c>
      <c r="AB23" s="187">
        <f t="shared" si="13"/>
        <v>0</v>
      </c>
      <c r="AC23" s="183">
        <f t="shared" si="14"/>
        <v>0</v>
      </c>
      <c r="AD23" s="188">
        <f t="shared" si="15"/>
        <v>0.15486111111385981</v>
      </c>
      <c r="AE23" s="188">
        <f t="shared" si="16"/>
        <v>0</v>
      </c>
      <c r="AF23" s="188">
        <f t="shared" si="17"/>
        <v>0.15486111111385981</v>
      </c>
      <c r="AG23" s="188">
        <f t="shared" si="18"/>
        <v>0</v>
      </c>
    </row>
    <row r="24" spans="1:35" ht="15" customHeight="1" x14ac:dyDescent="0.15">
      <c r="B24" s="174" t="s">
        <v>5</v>
      </c>
      <c r="C24" s="175" t="s">
        <v>13</v>
      </c>
      <c r="D24" s="176" t="str">
        <f t="shared" si="0"/>
        <v>C</v>
      </c>
      <c r="E24" s="177" t="d">
        <v>2021-12-14T12:00:00.000</v>
      </c>
      <c r="F24" s="178" t="s">
        <v>82</v>
      </c>
      <c r="G24" s="179">
        <v>4652.55</v>
      </c>
      <c r="H24" s="179">
        <v>4671.08</v>
      </c>
      <c r="I24" s="180">
        <f t="shared" si="1"/>
        <v>18.529999999999745</v>
      </c>
      <c r="J24" s="179">
        <v>4532.08</v>
      </c>
      <c r="K24" s="177" t="d">
        <v>2021-12-14T16:41:59.99999983236193650</v>
      </c>
      <c r="L24" s="179">
        <v>4653.3100000000004</v>
      </c>
      <c r="M24" s="181">
        <f t="shared" si="2"/>
        <v>-0.76</v>
      </c>
      <c r="N24" s="182">
        <f t="shared" si="3"/>
        <v>-0.04</v>
      </c>
      <c r="O24" s="183">
        <f t="shared" si="4"/>
        <v>0</v>
      </c>
      <c r="P24" s="184">
        <f t="shared" si="5"/>
        <v>0</v>
      </c>
      <c r="Q24" s="184">
        <f t="shared" si="6"/>
        <v>-0.04</v>
      </c>
      <c r="R2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35755</v>
      </c>
      <c r="T2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36025</v>
      </c>
      <c r="U24" s="186">
        <f ca="1">IF(Tabla336106734812[[#This Row],[Equity]]&lt;Tabla336106734812[[#This Row],[Equity Peak]],(Tabla336106734812[[#This Row],[Equity Peak]]-Tabla336106734812[[#This Row],[Equity]])/Tabla336106734812[[#This Row],[Equity Peak]],"")</f>
        <v>7.4947952810548229E-3</v>
      </c>
      <c r="V24" s="187">
        <f t="shared" si="7"/>
        <v>0</v>
      </c>
      <c r="W24" s="187">
        <f t="shared" si="8"/>
        <v>0</v>
      </c>
      <c r="X24" s="187">
        <f t="shared" si="9"/>
        <v>0</v>
      </c>
      <c r="Y24" s="187">
        <f t="shared" si="10"/>
        <v>0</v>
      </c>
      <c r="Z24" s="187">
        <f t="shared" si="11"/>
        <v>-0.04</v>
      </c>
      <c r="AA24" s="183">
        <f t="shared" si="12"/>
        <v>0</v>
      </c>
      <c r="AB24" s="187">
        <f t="shared" si="13"/>
        <v>0</v>
      </c>
      <c r="AC24" s="183">
        <f t="shared" si="14"/>
        <v>0</v>
      </c>
      <c r="AD24" s="188">
        <f t="shared" si="15"/>
        <v>0.19583333333139308</v>
      </c>
      <c r="AE24" s="188">
        <f t="shared" si="16"/>
        <v>0</v>
      </c>
      <c r="AF24" s="188">
        <f t="shared" si="17"/>
        <v>0.19583333333139308</v>
      </c>
      <c r="AG24" s="188">
        <f t="shared" si="18"/>
        <v>0</v>
      </c>
    </row>
    <row r="25" spans="1:35" ht="15" customHeight="1" x14ac:dyDescent="0.15">
      <c r="B25" s="174" t="s">
        <v>5</v>
      </c>
      <c r="C25" s="175" t="s">
        <v>15</v>
      </c>
      <c r="D25" s="176" t="str">
        <f t="shared" si="0"/>
        <v>C</v>
      </c>
      <c r="E25" s="177" t="d">
        <v>2021-12-10T23:00:00.00000020954757600</v>
      </c>
      <c r="F25" s="178" t="s">
        <v>82</v>
      </c>
      <c r="G25" s="179">
        <v>4711.93</v>
      </c>
      <c r="H25" s="179">
        <v>4690.3599999999997</v>
      </c>
      <c r="I25" s="180">
        <f t="shared" si="1"/>
        <v>21.570000000000618</v>
      </c>
      <c r="J25" s="179">
        <v>4852.12</v>
      </c>
      <c r="K25" s="177" t="d">
        <v>2021-12-13T16:25:59.99999984633177850</v>
      </c>
      <c r="L25" s="179">
        <v>4711.04</v>
      </c>
      <c r="M25" s="181">
        <f t="shared" si="2"/>
        <v>-0.89</v>
      </c>
      <c r="N25" s="182">
        <f t="shared" si="3"/>
        <v>-0.04</v>
      </c>
      <c r="O25" s="183">
        <f t="shared" si="4"/>
        <v>0</v>
      </c>
      <c r="P25" s="184">
        <f t="shared" si="5"/>
        <v>0</v>
      </c>
      <c r="Q25" s="184">
        <f t="shared" si="6"/>
        <v>-0.04</v>
      </c>
      <c r="R2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35765</v>
      </c>
      <c r="T2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36025</v>
      </c>
      <c r="U25" s="186">
        <f ca="1">IF(Tabla336106734812[[#This Row],[Equity]]&lt;Tabla336106734812[[#This Row],[Equity Peak]],(Tabla336106734812[[#This Row],[Equity Peak]]-Tabla336106734812[[#This Row],[Equity]])/Tabla336106734812[[#This Row],[Equity Peak]],"")</f>
        <v>7.2172102706453854E-3</v>
      </c>
      <c r="V25" s="187">
        <f t="shared" si="7"/>
        <v>0</v>
      </c>
      <c r="W25" s="187">
        <f t="shared" si="8"/>
        <v>0</v>
      </c>
      <c r="X25" s="187">
        <f t="shared" si="9"/>
        <v>0</v>
      </c>
      <c r="Y25" s="187">
        <f t="shared" si="10"/>
        <v>0</v>
      </c>
      <c r="Z25" s="187">
        <f t="shared" si="11"/>
        <v>-0.04</v>
      </c>
      <c r="AA25" s="183">
        <f t="shared" si="12"/>
        <v>0</v>
      </c>
      <c r="AB25" s="187">
        <f t="shared" si="13"/>
        <v>0</v>
      </c>
      <c r="AC25" s="183">
        <f t="shared" si="14"/>
        <v>0</v>
      </c>
      <c r="AD25" s="188">
        <f t="shared" si="15"/>
        <v>2.726388888884685</v>
      </c>
      <c r="AE25" s="188">
        <f t="shared" si="16"/>
        <v>0</v>
      </c>
      <c r="AF25" s="188">
        <f t="shared" si="17"/>
        <v>2.726388888884685</v>
      </c>
      <c r="AG25" s="188">
        <f t="shared" si="18"/>
        <v>0</v>
      </c>
    </row>
    <row r="26" spans="1:35" ht="15" customHeight="1" x14ac:dyDescent="0.15">
      <c r="B26" s="174" t="s">
        <v>5</v>
      </c>
      <c r="C26" s="175" t="s">
        <v>15</v>
      </c>
      <c r="D26" s="176" t="str">
        <f t="shared" si="0"/>
        <v>C</v>
      </c>
      <c r="E26" s="177" t="d">
        <v>2021-12-10T15:45:00.000</v>
      </c>
      <c r="F26" s="178" t="s">
        <v>82</v>
      </c>
      <c r="G26" s="179">
        <v>4704.46</v>
      </c>
      <c r="H26" s="179">
        <v>4683.7700000000004</v>
      </c>
      <c r="I26" s="180">
        <f t="shared" si="1"/>
        <v>20.6899999999996</v>
      </c>
      <c r="J26" s="179">
        <v>4838.96</v>
      </c>
      <c r="K26" s="177" t="d">
        <v>2021-12-10T17:38:00.000000097788870375</v>
      </c>
      <c r="L26" s="179">
        <v>4683.7700000000004</v>
      </c>
      <c r="M26" s="181">
        <f t="shared" si="2"/>
        <v>-20.69</v>
      </c>
      <c r="N26" s="182">
        <f t="shared" si="3"/>
        <v>-1</v>
      </c>
      <c r="O26" s="183">
        <f t="shared" si="4"/>
        <v>0</v>
      </c>
      <c r="P26" s="184">
        <f t="shared" si="5"/>
        <v>0</v>
      </c>
      <c r="Q26" s="184">
        <f t="shared" si="6"/>
        <v>-1</v>
      </c>
      <c r="R2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35775</v>
      </c>
      <c r="T2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36025</v>
      </c>
      <c r="U26" s="186">
        <f ca="1">IF(Tabla336106734812[[#This Row],[Equity]]&lt;Tabla336106734812[[#This Row],[Equity Peak]],(Tabla336106734812[[#This Row],[Equity Peak]]-Tabla336106734812[[#This Row],[Equity]])/Tabla336106734812[[#This Row],[Equity Peak]],"")</f>
        <v>6.939625260235947E-3</v>
      </c>
      <c r="V26" s="187">
        <f t="shared" si="7"/>
        <v>0</v>
      </c>
      <c r="W26" s="187">
        <f t="shared" si="8"/>
        <v>0</v>
      </c>
      <c r="X26" s="187">
        <f t="shared" si="9"/>
        <v>0</v>
      </c>
      <c r="Y26" s="187">
        <f t="shared" si="10"/>
        <v>0</v>
      </c>
      <c r="Z26" s="187">
        <f t="shared" si="11"/>
        <v>-1</v>
      </c>
      <c r="AA26" s="183">
        <f t="shared" si="12"/>
        <v>0</v>
      </c>
      <c r="AB26" s="187">
        <f t="shared" si="13"/>
        <v>0</v>
      </c>
      <c r="AC26" s="183">
        <f t="shared" si="14"/>
        <v>0</v>
      </c>
      <c r="AD26" s="188">
        <f t="shared" si="15"/>
        <v>7.8472222223354038E-2</v>
      </c>
      <c r="AE26" s="188">
        <f t="shared" si="16"/>
        <v>0</v>
      </c>
      <c r="AF26" s="188">
        <f t="shared" si="17"/>
        <v>7.8472222223354038E-2</v>
      </c>
      <c r="AG26" s="188">
        <f t="shared" si="18"/>
        <v>0</v>
      </c>
    </row>
    <row r="27" spans="1:35" ht="15" customHeight="1" x14ac:dyDescent="0.15">
      <c r="B27" s="174" t="s">
        <v>5</v>
      </c>
      <c r="C27" s="175" t="s">
        <v>15</v>
      </c>
      <c r="D27" s="176" t="str">
        <f t="shared" si="0"/>
        <v>C</v>
      </c>
      <c r="E27" s="177" t="d">
        <v>2021-12-06T20:00:00.00000020954757600</v>
      </c>
      <c r="F27" s="178" t="s">
        <v>82</v>
      </c>
      <c r="G27" s="179">
        <v>4602.67</v>
      </c>
      <c r="H27" s="179">
        <v>4562.72</v>
      </c>
      <c r="I27" s="180">
        <f t="shared" si="1"/>
        <v>39.949999999999818</v>
      </c>
      <c r="J27" s="179">
        <v>4862.3100000000004</v>
      </c>
      <c r="K27" s="177" t="d">
        <v>2021-12-09T17:32:59.99999974854290475</v>
      </c>
      <c r="L27" s="179">
        <v>4676.18</v>
      </c>
      <c r="M27" s="181">
        <f t="shared" si="2"/>
        <v>73.510000000000005</v>
      </c>
      <c r="N27" s="182">
        <f t="shared" si="3"/>
        <v>1.84</v>
      </c>
      <c r="O27" s="183">
        <f t="shared" si="4"/>
        <v>0</v>
      </c>
      <c r="P27" s="184">
        <f t="shared" si="5"/>
        <v>1.84</v>
      </c>
      <c r="Q27" s="184">
        <f t="shared" si="6"/>
        <v>0</v>
      </c>
      <c r="R2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36025</v>
      </c>
      <c r="T2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36025</v>
      </c>
      <c r="U27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27" s="187">
        <f t="shared" si="7"/>
        <v>0</v>
      </c>
      <c r="W27" s="187">
        <f t="shared" si="8"/>
        <v>0</v>
      </c>
      <c r="X27" s="187">
        <f t="shared" si="9"/>
        <v>0</v>
      </c>
      <c r="Y27" s="187">
        <f t="shared" si="10"/>
        <v>0</v>
      </c>
      <c r="Z27" s="187">
        <f t="shared" si="11"/>
        <v>1.84</v>
      </c>
      <c r="AA27" s="183">
        <f t="shared" si="12"/>
        <v>0</v>
      </c>
      <c r="AB27" s="187">
        <f t="shared" si="13"/>
        <v>0</v>
      </c>
      <c r="AC27" s="183">
        <f t="shared" si="14"/>
        <v>0</v>
      </c>
      <c r="AD27" s="188">
        <f t="shared" si="15"/>
        <v>2.897916666661331</v>
      </c>
      <c r="AE27" s="188">
        <f t="shared" si="16"/>
        <v>2.897916666661331</v>
      </c>
      <c r="AF27" s="188">
        <f t="shared" si="17"/>
        <v>0</v>
      </c>
      <c r="AG27" s="188">
        <f t="shared" si="18"/>
        <v>0</v>
      </c>
    </row>
    <row r="28" spans="1:35" ht="15" customHeight="1" x14ac:dyDescent="0.15">
      <c r="B28" s="174" t="s">
        <v>5</v>
      </c>
      <c r="C28" s="175" t="s">
        <v>13</v>
      </c>
      <c r="D28" s="176" t="str">
        <f t="shared" si="0"/>
        <v>C</v>
      </c>
      <c r="E28" s="177" t="d">
        <v>2021-12-03T17:15:00.000</v>
      </c>
      <c r="F28" s="178" t="s">
        <v>82</v>
      </c>
      <c r="G28" s="179">
        <v>4543.6899999999996</v>
      </c>
      <c r="H28" s="179">
        <v>4579.2700000000004</v>
      </c>
      <c r="I28" s="180">
        <f t="shared" si="1"/>
        <v>35.580000000000837</v>
      </c>
      <c r="J28" s="179">
        <v>4312.43</v>
      </c>
      <c r="K28" s="177" t="d">
        <v>2021-12-03T22:57:00.00000025145709525</v>
      </c>
      <c r="L28" s="179">
        <v>4537.95</v>
      </c>
      <c r="M28" s="181">
        <f t="shared" si="2"/>
        <v>5.74</v>
      </c>
      <c r="N28" s="182">
        <f t="shared" si="3"/>
        <v>0.16</v>
      </c>
      <c r="O28" s="183">
        <f t="shared" si="4"/>
        <v>0</v>
      </c>
      <c r="P28" s="184">
        <f t="shared" si="5"/>
        <v>0.16</v>
      </c>
      <c r="Q28" s="184">
        <f t="shared" si="6"/>
        <v>0</v>
      </c>
      <c r="R2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35565</v>
      </c>
      <c r="T2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35565</v>
      </c>
      <c r="U28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28" s="187">
        <f t="shared" si="7"/>
        <v>0</v>
      </c>
      <c r="W28" s="187">
        <f t="shared" si="8"/>
        <v>0</v>
      </c>
      <c r="X28" s="187">
        <f t="shared" si="9"/>
        <v>0</v>
      </c>
      <c r="Y28" s="187">
        <f t="shared" si="10"/>
        <v>0</v>
      </c>
      <c r="Z28" s="187">
        <f t="shared" si="11"/>
        <v>0.16</v>
      </c>
      <c r="AA28" s="183">
        <f t="shared" si="12"/>
        <v>0</v>
      </c>
      <c r="AB28" s="187">
        <f t="shared" si="13"/>
        <v>0</v>
      </c>
      <c r="AC28" s="183">
        <f t="shared" si="14"/>
        <v>0</v>
      </c>
      <c r="AD28" s="188">
        <f t="shared" si="15"/>
        <v>0.23750000000291038</v>
      </c>
      <c r="AE28" s="188">
        <f t="shared" si="16"/>
        <v>0.23750000000291038</v>
      </c>
      <c r="AF28" s="188">
        <f t="shared" si="17"/>
        <v>0</v>
      </c>
      <c r="AG28" s="188">
        <f t="shared" si="18"/>
        <v>0</v>
      </c>
    </row>
    <row r="29" spans="1:35" ht="15" customHeight="1" x14ac:dyDescent="0.15">
      <c r="B29" s="174" t="s">
        <v>5</v>
      </c>
      <c r="C29" s="175" t="s">
        <v>13</v>
      </c>
      <c r="D29" s="176" t="str">
        <f t="shared" si="0"/>
        <v>C</v>
      </c>
      <c r="E29" s="177" t="d">
        <v>2021-12-01T22:15:00.00000020954757600</v>
      </c>
      <c r="F29" s="178" t="s">
        <v>82</v>
      </c>
      <c r="G29" s="179">
        <v>4567.0600000000004</v>
      </c>
      <c r="H29" s="179">
        <v>4597.21</v>
      </c>
      <c r="I29" s="180">
        <f t="shared" si="1"/>
        <v>30.149999999999636</v>
      </c>
      <c r="J29" s="179">
        <v>4371.08</v>
      </c>
      <c r="K29" s="177" t="d">
        <v>2021-12-02T03:58:00.00000002793967725</v>
      </c>
      <c r="L29" s="179">
        <v>4535.58</v>
      </c>
      <c r="M29" s="181">
        <f t="shared" si="2"/>
        <v>31.48</v>
      </c>
      <c r="N29" s="182">
        <f t="shared" si="3"/>
        <v>1.04</v>
      </c>
      <c r="O29" s="183">
        <f t="shared" si="4"/>
        <v>0</v>
      </c>
      <c r="P29" s="184">
        <f t="shared" si="5"/>
        <v>1.04</v>
      </c>
      <c r="Q29" s="184">
        <f t="shared" si="6"/>
        <v>0</v>
      </c>
      <c r="R2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35525</v>
      </c>
      <c r="T2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35525</v>
      </c>
      <c r="U29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29" s="187">
        <f t="shared" si="7"/>
        <v>0</v>
      </c>
      <c r="W29" s="187">
        <f t="shared" si="8"/>
        <v>0</v>
      </c>
      <c r="X29" s="187">
        <f t="shared" si="9"/>
        <v>0</v>
      </c>
      <c r="Y29" s="187">
        <f t="shared" si="10"/>
        <v>0</v>
      </c>
      <c r="Z29" s="187">
        <f t="shared" si="11"/>
        <v>1.04</v>
      </c>
      <c r="AA29" s="183">
        <f t="shared" si="12"/>
        <v>0</v>
      </c>
      <c r="AB29" s="187">
        <f t="shared" si="13"/>
        <v>0</v>
      </c>
      <c r="AC29" s="183">
        <f t="shared" si="14"/>
        <v>0</v>
      </c>
      <c r="AD29" s="188">
        <f t="shared" si="15"/>
        <v>0.2381944444423425</v>
      </c>
      <c r="AE29" s="188">
        <f t="shared" si="16"/>
        <v>0.2381944444423425</v>
      </c>
      <c r="AF29" s="188">
        <f t="shared" si="17"/>
        <v>0</v>
      </c>
      <c r="AG29" s="188">
        <f t="shared" si="18"/>
        <v>0</v>
      </c>
    </row>
    <row r="30" spans="1:35" ht="15" customHeight="1" x14ac:dyDescent="0.15">
      <c r="B30" s="174" t="s">
        <v>5</v>
      </c>
      <c r="C30" s="175" t="s">
        <v>13</v>
      </c>
      <c r="D30" s="176" t="str">
        <f t="shared" si="0"/>
        <v>C</v>
      </c>
      <c r="E30" s="177" t="d">
        <v>2021-11-30T07:44:59.99999979045242400</v>
      </c>
      <c r="F30" s="178" t="s">
        <v>82</v>
      </c>
      <c r="G30" s="179">
        <v>4617.78</v>
      </c>
      <c r="H30" s="179">
        <v>4642.74</v>
      </c>
      <c r="I30" s="180">
        <f t="shared" si="1"/>
        <v>24.960000000000036</v>
      </c>
      <c r="J30" s="179">
        <v>4455.51</v>
      </c>
      <c r="K30" s="177" t="d">
        <v>2021-11-30T14:28:00.00000002793967725</v>
      </c>
      <c r="L30" s="179">
        <v>4620.38</v>
      </c>
      <c r="M30" s="181">
        <f t="shared" si="2"/>
        <v>-2.6</v>
      </c>
      <c r="N30" s="182">
        <f t="shared" si="3"/>
        <v>-0.1</v>
      </c>
      <c r="O30" s="183">
        <f t="shared" si="4"/>
        <v>0</v>
      </c>
      <c r="P30" s="184">
        <f t="shared" si="5"/>
        <v>0</v>
      </c>
      <c r="Q30" s="184">
        <f t="shared" si="6"/>
        <v>-0.1</v>
      </c>
      <c r="R3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35265</v>
      </c>
      <c r="T3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35290</v>
      </c>
      <c r="U30" s="186">
        <f ca="1">IF(Tabla336106734812[[#This Row],[Equity]]&lt;Tabla336106734812[[#This Row],[Equity Peak]],(Tabla336106734812[[#This Row],[Equity Peak]]-Tabla336106734812[[#This Row],[Equity]])/Tabla336106734812[[#This Row],[Equity Peak]],"")</f>
        <v>7.0841598186455082E-4</v>
      </c>
      <c r="V30" s="187">
        <f t="shared" si="7"/>
        <v>0</v>
      </c>
      <c r="W30" s="187">
        <f t="shared" si="8"/>
        <v>0</v>
      </c>
      <c r="X30" s="187">
        <f t="shared" si="9"/>
        <v>0</v>
      </c>
      <c r="Y30" s="187">
        <f t="shared" si="10"/>
        <v>0</v>
      </c>
      <c r="Z30" s="187">
        <f t="shared" si="11"/>
        <v>-0.1</v>
      </c>
      <c r="AA30" s="183">
        <f t="shared" si="12"/>
        <v>0</v>
      </c>
      <c r="AB30" s="187">
        <f t="shared" si="13"/>
        <v>0</v>
      </c>
      <c r="AC30" s="183">
        <f t="shared" si="14"/>
        <v>0</v>
      </c>
      <c r="AD30" s="188">
        <f t="shared" si="15"/>
        <v>0.27986111111385981</v>
      </c>
      <c r="AE30" s="188">
        <f t="shared" si="16"/>
        <v>0</v>
      </c>
      <c r="AF30" s="188">
        <f t="shared" si="17"/>
        <v>0.27986111111385981</v>
      </c>
      <c r="AG30" s="188">
        <f t="shared" si="18"/>
        <v>0</v>
      </c>
    </row>
    <row r="31" spans="1:35" ht="15" customHeight="1" x14ac:dyDescent="0.15">
      <c r="B31" s="174" t="s">
        <v>5</v>
      </c>
      <c r="C31" s="175" t="s">
        <v>13</v>
      </c>
      <c r="D31" s="176" t="str">
        <f t="shared" si="0"/>
        <v>C</v>
      </c>
      <c r="E31" s="177" t="d">
        <v>2021-11-26T01:44:59.99999979045242400</v>
      </c>
      <c r="F31" s="178" t="s">
        <v>82</v>
      </c>
      <c r="G31" s="179">
        <v>4695.54</v>
      </c>
      <c r="H31" s="179">
        <v>4714.38</v>
      </c>
      <c r="I31" s="180">
        <f t="shared" si="1"/>
        <v>18.840000000000146</v>
      </c>
      <c r="J31" s="179">
        <v>4573.08</v>
      </c>
      <c r="K31" s="177" t="d">
        <v>2021-11-26T10:57:00.00000025145709525</v>
      </c>
      <c r="L31" s="179">
        <v>4628.51</v>
      </c>
      <c r="M31" s="181">
        <f t="shared" si="2"/>
        <v>67.03</v>
      </c>
      <c r="N31" s="182">
        <f t="shared" si="3"/>
        <v>3.56</v>
      </c>
      <c r="O31" s="183">
        <f t="shared" si="4"/>
        <v>0</v>
      </c>
      <c r="P31" s="184">
        <f t="shared" si="5"/>
        <v>3.56</v>
      </c>
      <c r="Q31" s="184">
        <f t="shared" si="6"/>
        <v>0</v>
      </c>
      <c r="R3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35290</v>
      </c>
      <c r="T3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35290</v>
      </c>
      <c r="U31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31" s="187">
        <f t="shared" si="7"/>
        <v>0</v>
      </c>
      <c r="W31" s="187">
        <f t="shared" si="8"/>
        <v>0</v>
      </c>
      <c r="X31" s="187">
        <f t="shared" si="9"/>
        <v>0</v>
      </c>
      <c r="Y31" s="187">
        <f t="shared" si="10"/>
        <v>0</v>
      </c>
      <c r="Z31" s="187">
        <f t="shared" si="11"/>
        <v>3.56</v>
      </c>
      <c r="AA31" s="183">
        <f t="shared" si="12"/>
        <v>0</v>
      </c>
      <c r="AB31" s="187">
        <f t="shared" si="13"/>
        <v>0</v>
      </c>
      <c r="AC31" s="183">
        <f t="shared" si="14"/>
        <v>0</v>
      </c>
      <c r="AD31" s="188">
        <f t="shared" si="15"/>
        <v>0.38333333333866904</v>
      </c>
      <c r="AE31" s="188">
        <f t="shared" si="16"/>
        <v>0.38333333333866904</v>
      </c>
      <c r="AF31" s="188">
        <f t="shared" si="17"/>
        <v>0</v>
      </c>
      <c r="AG31" s="188">
        <f t="shared" si="18"/>
        <v>0</v>
      </c>
    </row>
    <row r="32" spans="1:35" ht="15" customHeight="1" x14ac:dyDescent="0.15">
      <c r="B32" s="174" t="s">
        <v>5</v>
      </c>
      <c r="C32" s="175" t="s">
        <v>15</v>
      </c>
      <c r="D32" s="176" t="str">
        <f t="shared" si="0"/>
        <v>C</v>
      </c>
      <c r="E32" s="177" t="d">
        <v>2021-11-24T20:15:00.000</v>
      </c>
      <c r="F32" s="178" t="s">
        <v>82</v>
      </c>
      <c r="G32" s="179">
        <v>4696.1099999999997</v>
      </c>
      <c r="H32" s="179">
        <v>4676.7</v>
      </c>
      <c r="I32" s="180">
        <f t="shared" si="1"/>
        <v>19.409999999999854</v>
      </c>
      <c r="J32" s="179">
        <v>4822.28</v>
      </c>
      <c r="K32" s="177" t="d">
        <v>2021-11-26T01:25:59.99999984633177850</v>
      </c>
      <c r="L32" s="179">
        <v>4700.28</v>
      </c>
      <c r="M32" s="181">
        <f t="shared" si="2"/>
        <v>4.17</v>
      </c>
      <c r="N32" s="182">
        <f t="shared" si="3"/>
        <v>0.21</v>
      </c>
      <c r="O32" s="183">
        <f t="shared" si="4"/>
        <v>0</v>
      </c>
      <c r="P32" s="184">
        <f t="shared" si="5"/>
        <v>0.21</v>
      </c>
      <c r="Q32" s="184">
        <f t="shared" si="6"/>
        <v>0</v>
      </c>
      <c r="R3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34400</v>
      </c>
      <c r="T3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34727.5</v>
      </c>
      <c r="U32" s="186">
        <f ca="1">IF(Tabla336106734812[[#This Row],[Equity]]&lt;Tabla336106734812[[#This Row],[Equity Peak]],(Tabla336106734812[[#This Row],[Equity Peak]]-Tabla336106734812[[#This Row],[Equity]])/Tabla336106734812[[#This Row],[Equity Peak]],"")</f>
        <v>9.4305665538838099E-3</v>
      </c>
      <c r="V32" s="187">
        <f t="shared" si="7"/>
        <v>0</v>
      </c>
      <c r="W32" s="187">
        <f t="shared" si="8"/>
        <v>0</v>
      </c>
      <c r="X32" s="187">
        <f t="shared" si="9"/>
        <v>0</v>
      </c>
      <c r="Y32" s="187">
        <f t="shared" si="10"/>
        <v>0</v>
      </c>
      <c r="Z32" s="187">
        <f t="shared" si="11"/>
        <v>0.21</v>
      </c>
      <c r="AA32" s="183">
        <f t="shared" si="12"/>
        <v>0</v>
      </c>
      <c r="AB32" s="187">
        <f t="shared" si="13"/>
        <v>0</v>
      </c>
      <c r="AC32" s="183">
        <f t="shared" si="14"/>
        <v>0</v>
      </c>
      <c r="AD32" s="188">
        <f t="shared" si="15"/>
        <v>1.2159722222204437</v>
      </c>
      <c r="AE32" s="188">
        <f t="shared" si="16"/>
        <v>1.2159722222204437</v>
      </c>
      <c r="AF32" s="188">
        <f t="shared" si="17"/>
        <v>0</v>
      </c>
      <c r="AG32" s="188">
        <f t="shared" si="18"/>
        <v>0</v>
      </c>
    </row>
    <row r="33" spans="2:33" ht="15" customHeight="1" x14ac:dyDescent="0.15">
      <c r="B33" s="174" t="s">
        <v>5</v>
      </c>
      <c r="C33" s="175" t="s">
        <v>13</v>
      </c>
      <c r="D33" s="176" t="str">
        <f t="shared" si="0"/>
        <v>C</v>
      </c>
      <c r="E33" s="177" t="d">
        <v>2021-11-24T15:59:59.99999979045242400</v>
      </c>
      <c r="F33" s="178" t="s">
        <v>82</v>
      </c>
      <c r="G33" s="179">
        <v>4666.6899999999996</v>
      </c>
      <c r="H33" s="179">
        <v>4685.04</v>
      </c>
      <c r="I33" s="180">
        <f t="shared" si="1"/>
        <v>18.350000000000364</v>
      </c>
      <c r="J33" s="179">
        <v>4547.42</v>
      </c>
      <c r="K33" s="177" t="d">
        <v>2021-11-24T17:28:00.00000002793967725</v>
      </c>
      <c r="L33" s="179">
        <v>4682.13</v>
      </c>
      <c r="M33" s="181">
        <f t="shared" si="2"/>
        <v>-15.44</v>
      </c>
      <c r="N33" s="182">
        <f t="shared" si="3"/>
        <v>-0.84</v>
      </c>
      <c r="O33" s="183">
        <f t="shared" si="4"/>
        <v>0</v>
      </c>
      <c r="P33" s="184">
        <f t="shared" si="5"/>
        <v>0</v>
      </c>
      <c r="Q33" s="184">
        <f t="shared" si="6"/>
        <v>-0.84</v>
      </c>
      <c r="R3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34347.5</v>
      </c>
      <c r="T3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34727.5</v>
      </c>
      <c r="U33" s="186">
        <f ca="1">IF(Tabla336106734812[[#This Row],[Equity]]&lt;Tabla336106734812[[#This Row],[Equity Peak]],(Tabla336106734812[[#This Row],[Equity Peak]]-Tabla336106734812[[#This Row],[Equity]])/Tabla336106734812[[#This Row],[Equity Peak]],"")</f>
        <v>1.0942336764811749E-2</v>
      </c>
      <c r="V33" s="187">
        <f t="shared" si="7"/>
        <v>0</v>
      </c>
      <c r="W33" s="187">
        <f t="shared" si="8"/>
        <v>0</v>
      </c>
      <c r="X33" s="187">
        <f t="shared" si="9"/>
        <v>0</v>
      </c>
      <c r="Y33" s="187">
        <f t="shared" si="10"/>
        <v>0</v>
      </c>
      <c r="Z33" s="187">
        <f t="shared" si="11"/>
        <v>-0.84</v>
      </c>
      <c r="AA33" s="183">
        <f t="shared" si="12"/>
        <v>0</v>
      </c>
      <c r="AB33" s="187">
        <f t="shared" si="13"/>
        <v>0</v>
      </c>
      <c r="AC33" s="183">
        <f t="shared" si="14"/>
        <v>0</v>
      </c>
      <c r="AD33" s="188">
        <f t="shared" si="15"/>
        <v>6.1111111113859806E-2</v>
      </c>
      <c r="AE33" s="188">
        <f t="shared" si="16"/>
        <v>0</v>
      </c>
      <c r="AF33" s="188">
        <f t="shared" si="17"/>
        <v>6.1111111113859806E-2</v>
      </c>
      <c r="AG33" s="188">
        <f t="shared" si="18"/>
        <v>0</v>
      </c>
    </row>
    <row r="34" spans="2:33" ht="15" customHeight="1" x14ac:dyDescent="0.15">
      <c r="B34" s="174" t="s">
        <v>5</v>
      </c>
      <c r="C34" s="175" t="s">
        <v>13</v>
      </c>
      <c r="D34" s="176" t="str">
        <f t="shared" si="0"/>
        <v>C</v>
      </c>
      <c r="E34" s="177" t="d">
        <v>2021-11-22T23:00:00.00000020954757600</v>
      </c>
      <c r="F34" s="178" t="s">
        <v>82</v>
      </c>
      <c r="G34" s="179">
        <v>4682.8</v>
      </c>
      <c r="H34" s="179">
        <v>4697.57</v>
      </c>
      <c r="I34" s="180">
        <f t="shared" si="1"/>
        <v>14.769999999999527</v>
      </c>
      <c r="J34" s="179">
        <v>4586.8100000000004</v>
      </c>
      <c r="K34" s="177" t="d">
        <v>2021-11-23T11:45:59.99999977648258200</v>
      </c>
      <c r="L34" s="179">
        <v>4677.33</v>
      </c>
      <c r="M34" s="181">
        <f t="shared" si="2"/>
        <v>5.47</v>
      </c>
      <c r="N34" s="182">
        <f t="shared" si="3"/>
        <v>0.37</v>
      </c>
      <c r="O34" s="183">
        <f t="shared" si="4"/>
        <v>0</v>
      </c>
      <c r="P34" s="184">
        <f t="shared" si="5"/>
        <v>0.37</v>
      </c>
      <c r="Q34" s="184">
        <f t="shared" si="6"/>
        <v>0</v>
      </c>
      <c r="R3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34557.5</v>
      </c>
      <c r="T3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34727.5</v>
      </c>
      <c r="U34" s="186">
        <f ca="1">IF(Tabla336106734812[[#This Row],[Equity]]&lt;Tabla336106734812[[#This Row],[Equity Peak]],(Tabla336106734812[[#This Row],[Equity Peak]]-Tabla336106734812[[#This Row],[Equity]])/Tabla336106734812[[#This Row],[Equity Peak]],"")</f>
        <v>4.8952559210999926E-3</v>
      </c>
      <c r="V34" s="187">
        <f t="shared" si="7"/>
        <v>0</v>
      </c>
      <c r="W34" s="187">
        <f t="shared" si="8"/>
        <v>0</v>
      </c>
      <c r="X34" s="187">
        <f t="shared" si="9"/>
        <v>0</v>
      </c>
      <c r="Y34" s="187">
        <f t="shared" si="10"/>
        <v>0</v>
      </c>
      <c r="Z34" s="187">
        <f t="shared" si="11"/>
        <v>0.37</v>
      </c>
      <c r="AA34" s="183">
        <f t="shared" si="12"/>
        <v>0</v>
      </c>
      <c r="AB34" s="187">
        <f t="shared" si="13"/>
        <v>0</v>
      </c>
      <c r="AC34" s="183">
        <f t="shared" si="14"/>
        <v>0</v>
      </c>
      <c r="AD34" s="188">
        <f t="shared" si="15"/>
        <v>0.53194444443943212</v>
      </c>
      <c r="AE34" s="188">
        <f t="shared" si="16"/>
        <v>0.53194444443943212</v>
      </c>
      <c r="AF34" s="188">
        <f t="shared" si="17"/>
        <v>0</v>
      </c>
      <c r="AG34" s="188">
        <f t="shared" si="18"/>
        <v>0</v>
      </c>
    </row>
    <row r="35" spans="2:33" ht="15" customHeight="1" x14ac:dyDescent="0.15">
      <c r="B35" s="174" t="s">
        <v>5</v>
      </c>
      <c r="C35" s="175" t="s">
        <v>15</v>
      </c>
      <c r="D35" s="176" t="str">
        <f t="shared" si="0"/>
        <v>C</v>
      </c>
      <c r="E35" s="177" t="d">
        <v>2021-11-22T16:44:59.99999979045242400</v>
      </c>
      <c r="F35" s="178" t="s">
        <v>82</v>
      </c>
      <c r="G35" s="179">
        <v>4725.87</v>
      </c>
      <c r="H35" s="179">
        <v>4712.67</v>
      </c>
      <c r="I35" s="180">
        <f t="shared" si="1"/>
        <v>13.199999999999818</v>
      </c>
      <c r="J35" s="179">
        <v>4811.6499999999996</v>
      </c>
      <c r="K35" s="177" t="d">
        <v>2021-11-22T18:43:00.00000023748725325</v>
      </c>
      <c r="L35" s="179">
        <v>4726.99</v>
      </c>
      <c r="M35" s="181">
        <f t="shared" si="2"/>
        <v>1.1200000000000001</v>
      </c>
      <c r="N35" s="182">
        <f t="shared" si="3"/>
        <v>0.08</v>
      </c>
      <c r="O35" s="183">
        <f t="shared" si="4"/>
        <v>0</v>
      </c>
      <c r="P35" s="184">
        <f t="shared" si="5"/>
        <v>0.08</v>
      </c>
      <c r="Q35" s="184">
        <f t="shared" si="6"/>
        <v>0</v>
      </c>
      <c r="R3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34465</v>
      </c>
      <c r="T3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34727.5</v>
      </c>
      <c r="U35" s="186">
        <f ca="1">IF(Tabla336106734812[[#This Row],[Equity]]&lt;Tabla336106734812[[#This Row],[Equity Peak]],(Tabla336106734812[[#This Row],[Equity Peak]]-Tabla336106734812[[#This Row],[Equity]])/Tabla336106734812[[#This Row],[Equity Peak]],"")</f>
        <v>7.5588510546396948E-3</v>
      </c>
      <c r="V35" s="187">
        <f t="shared" si="7"/>
        <v>0</v>
      </c>
      <c r="W35" s="187">
        <f t="shared" si="8"/>
        <v>0</v>
      </c>
      <c r="X35" s="187">
        <f t="shared" si="9"/>
        <v>0</v>
      </c>
      <c r="Y35" s="187">
        <f t="shared" si="10"/>
        <v>0</v>
      </c>
      <c r="Z35" s="187">
        <f t="shared" si="11"/>
        <v>0.08</v>
      </c>
      <c r="AA35" s="183">
        <f t="shared" si="12"/>
        <v>0</v>
      </c>
      <c r="AB35" s="187">
        <f t="shared" si="13"/>
        <v>0</v>
      </c>
      <c r="AC35" s="183">
        <f t="shared" si="14"/>
        <v>0</v>
      </c>
      <c r="AD35" s="188">
        <f t="shared" si="15"/>
        <v>8.1944444449618459E-2</v>
      </c>
      <c r="AE35" s="188">
        <f t="shared" si="16"/>
        <v>8.1944444449618459E-2</v>
      </c>
      <c r="AF35" s="188">
        <f t="shared" si="17"/>
        <v>0</v>
      </c>
      <c r="AG35" s="188">
        <f t="shared" si="18"/>
        <v>0</v>
      </c>
    </row>
    <row r="36" spans="2:33" ht="15" customHeight="1" x14ac:dyDescent="0.15">
      <c r="B36" s="174" t="s">
        <v>5</v>
      </c>
      <c r="C36" s="175" t="s">
        <v>15</v>
      </c>
      <c r="D36" s="176" t="str">
        <f t="shared" si="0"/>
        <v>C</v>
      </c>
      <c r="E36" s="177" t="d">
        <v>2021-11-19T00:59:59.99999979045242400</v>
      </c>
      <c r="F36" s="178" t="s">
        <v>82</v>
      </c>
      <c r="G36" s="179">
        <v>4708.96</v>
      </c>
      <c r="H36" s="179">
        <v>4696.5200000000004</v>
      </c>
      <c r="I36" s="180">
        <f t="shared" si="1"/>
        <v>12.4399999999996</v>
      </c>
      <c r="J36" s="179">
        <v>4789.84</v>
      </c>
      <c r="K36" s="177" t="d">
        <v>2021-11-19T11:39:00.00000029336660775</v>
      </c>
      <c r="L36" s="179">
        <v>4712.03</v>
      </c>
      <c r="M36" s="181">
        <f t="shared" si="2"/>
        <v>3.07</v>
      </c>
      <c r="N36" s="182">
        <f t="shared" si="3"/>
        <v>0.25</v>
      </c>
      <c r="O36" s="183">
        <f t="shared" si="4"/>
        <v>0</v>
      </c>
      <c r="P36" s="184">
        <f t="shared" si="5"/>
        <v>0.25</v>
      </c>
      <c r="Q36" s="184">
        <f t="shared" si="6"/>
        <v>0</v>
      </c>
      <c r="R3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34445</v>
      </c>
      <c r="T3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34727.5</v>
      </c>
      <c r="U36" s="186">
        <f ca="1">IF(Tabla336106734812[[#This Row],[Equity]]&lt;Tabla336106734812[[#This Row],[Equity Peak]],(Tabla336106734812[[#This Row],[Equity Peak]]-Tabla336106734812[[#This Row],[Equity]])/Tabla336106734812[[#This Row],[Equity Peak]],"")</f>
        <v>8.1347635159455759E-3</v>
      </c>
      <c r="V36" s="187">
        <f t="shared" si="7"/>
        <v>0</v>
      </c>
      <c r="W36" s="187">
        <f t="shared" si="8"/>
        <v>0</v>
      </c>
      <c r="X36" s="187">
        <f t="shared" si="9"/>
        <v>0</v>
      </c>
      <c r="Y36" s="187">
        <f t="shared" si="10"/>
        <v>0</v>
      </c>
      <c r="Z36" s="187">
        <f t="shared" si="11"/>
        <v>0.25</v>
      </c>
      <c r="AA36" s="183">
        <f t="shared" si="12"/>
        <v>0</v>
      </c>
      <c r="AB36" s="187">
        <f t="shared" si="13"/>
        <v>0</v>
      </c>
      <c r="AC36" s="183">
        <f t="shared" si="14"/>
        <v>0</v>
      </c>
      <c r="AD36" s="188">
        <f t="shared" si="15"/>
        <v>0.44375000000582077</v>
      </c>
      <c r="AE36" s="188">
        <f t="shared" si="16"/>
        <v>0.44375000000582077</v>
      </c>
      <c r="AF36" s="188">
        <f t="shared" si="17"/>
        <v>0</v>
      </c>
      <c r="AG36" s="188">
        <f t="shared" si="18"/>
        <v>0</v>
      </c>
    </row>
    <row r="37" spans="2:33" ht="15" customHeight="1" x14ac:dyDescent="0.15">
      <c r="B37" s="174" t="s">
        <v>5</v>
      </c>
      <c r="C37" s="175" t="s">
        <v>13</v>
      </c>
      <c r="D37" s="176" t="str">
        <f t="shared" si="0"/>
        <v>C</v>
      </c>
      <c r="E37" s="177" t="d">
        <v>2021-11-18T17:15:00.000</v>
      </c>
      <c r="F37" s="178" t="s">
        <v>82</v>
      </c>
      <c r="G37" s="179">
        <v>4678.03</v>
      </c>
      <c r="H37" s="179">
        <v>4689.72</v>
      </c>
      <c r="I37" s="180">
        <f t="shared" si="1"/>
        <v>11.690000000000509</v>
      </c>
      <c r="J37" s="179">
        <v>4602.03</v>
      </c>
      <c r="K37" s="177" t="d">
        <v>2021-11-18T18:13:00.00000002793967725</v>
      </c>
      <c r="L37" s="179">
        <v>4687.3</v>
      </c>
      <c r="M37" s="181">
        <f t="shared" si="2"/>
        <v>-9.27</v>
      </c>
      <c r="N37" s="182">
        <f t="shared" si="3"/>
        <v>-0.79</v>
      </c>
      <c r="O37" s="183">
        <f t="shared" si="4"/>
        <v>0</v>
      </c>
      <c r="P37" s="184">
        <f t="shared" si="5"/>
        <v>0</v>
      </c>
      <c r="Q37" s="184">
        <f t="shared" si="6"/>
        <v>-0.79</v>
      </c>
      <c r="R3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34382.5</v>
      </c>
      <c r="T3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34727.5</v>
      </c>
      <c r="U37" s="186">
        <f ca="1">IF(Tabla336106734812[[#This Row],[Equity]]&lt;Tabla336106734812[[#This Row],[Equity Peak]],(Tabla336106734812[[#This Row],[Equity Peak]]-Tabla336106734812[[#This Row],[Equity]])/Tabla336106734812[[#This Row],[Equity Peak]],"")</f>
        <v>9.9344899575264552E-3</v>
      </c>
      <c r="V37" s="187">
        <f t="shared" si="7"/>
        <v>0</v>
      </c>
      <c r="W37" s="187">
        <f t="shared" si="8"/>
        <v>0</v>
      </c>
      <c r="X37" s="187">
        <f t="shared" si="9"/>
        <v>0</v>
      </c>
      <c r="Y37" s="187">
        <f t="shared" si="10"/>
        <v>0</v>
      </c>
      <c r="Z37" s="187">
        <f t="shared" si="11"/>
        <v>-0.79</v>
      </c>
      <c r="AA37" s="183">
        <f t="shared" si="12"/>
        <v>0</v>
      </c>
      <c r="AB37" s="187">
        <f t="shared" si="13"/>
        <v>0</v>
      </c>
      <c r="AC37" s="183">
        <f t="shared" si="14"/>
        <v>0</v>
      </c>
      <c r="AD37" s="188">
        <f t="shared" si="15"/>
        <v>4.0277777778101154E-2</v>
      </c>
      <c r="AE37" s="188">
        <f t="shared" si="16"/>
        <v>0</v>
      </c>
      <c r="AF37" s="188">
        <f t="shared" si="17"/>
        <v>4.0277777778101154E-2</v>
      </c>
      <c r="AG37" s="188">
        <f t="shared" si="18"/>
        <v>0</v>
      </c>
    </row>
    <row r="38" spans="2:33" ht="15" customHeight="1" x14ac:dyDescent="0.15">
      <c r="B38" s="174" t="s">
        <v>5</v>
      </c>
      <c r="C38" s="175" t="s">
        <v>15</v>
      </c>
      <c r="D38" s="176" t="str">
        <f t="shared" si="0"/>
        <v>C</v>
      </c>
      <c r="E38" s="177" t="d">
        <v>2021-11-18T10:30:00.000</v>
      </c>
      <c r="F38" s="178" t="s">
        <v>82</v>
      </c>
      <c r="G38" s="179">
        <v>4701.55</v>
      </c>
      <c r="H38" s="179">
        <v>4689.97</v>
      </c>
      <c r="I38" s="180">
        <f t="shared" si="1"/>
        <v>11.579999999999927</v>
      </c>
      <c r="J38" s="179">
        <v>4776.82</v>
      </c>
      <c r="K38" s="177" t="d">
        <v>2021-11-18T16:31:59.99999976251274675</v>
      </c>
      <c r="L38" s="179">
        <v>4694.6899999999996</v>
      </c>
      <c r="M38" s="181">
        <f t="shared" si="2"/>
        <v>-6.86</v>
      </c>
      <c r="N38" s="182">
        <f t="shared" si="3"/>
        <v>-0.59</v>
      </c>
      <c r="O38" s="183">
        <f t="shared" si="4"/>
        <v>0</v>
      </c>
      <c r="P38" s="184">
        <f t="shared" si="5"/>
        <v>0</v>
      </c>
      <c r="Q38" s="184">
        <f t="shared" si="6"/>
        <v>-0.59</v>
      </c>
      <c r="R3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34580</v>
      </c>
      <c r="T3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34727.5</v>
      </c>
      <c r="U38" s="186">
        <f ca="1">IF(Tabla336106734812[[#This Row],[Equity]]&lt;Tabla336106734812[[#This Row],[Equity Peak]],(Tabla336106734812[[#This Row],[Equity Peak]]-Tabla336106734812[[#This Row],[Equity]])/Tabla336106734812[[#This Row],[Equity Peak]],"")</f>
        <v>4.2473544021308764E-3</v>
      </c>
      <c r="V38" s="187">
        <f t="shared" si="7"/>
        <v>0</v>
      </c>
      <c r="W38" s="187">
        <f t="shared" si="8"/>
        <v>0</v>
      </c>
      <c r="X38" s="187">
        <f t="shared" si="9"/>
        <v>0</v>
      </c>
      <c r="Y38" s="187">
        <f t="shared" si="10"/>
        <v>0</v>
      </c>
      <c r="Z38" s="187">
        <f t="shared" si="11"/>
        <v>-0.59</v>
      </c>
      <c r="AA38" s="183">
        <f t="shared" si="12"/>
        <v>0</v>
      </c>
      <c r="AB38" s="187">
        <f t="shared" si="13"/>
        <v>0</v>
      </c>
      <c r="AC38" s="183">
        <f t="shared" si="14"/>
        <v>0</v>
      </c>
      <c r="AD38" s="188">
        <f t="shared" si="15"/>
        <v>0.25138888888614019</v>
      </c>
      <c r="AE38" s="188">
        <f t="shared" si="16"/>
        <v>0</v>
      </c>
      <c r="AF38" s="188">
        <f t="shared" si="17"/>
        <v>0.25138888888614019</v>
      </c>
      <c r="AG38" s="188">
        <f t="shared" si="18"/>
        <v>0</v>
      </c>
    </row>
    <row r="39" spans="2:33" ht="15" customHeight="1" x14ac:dyDescent="0.15">
      <c r="B39" s="174" t="s">
        <v>5</v>
      </c>
      <c r="C39" s="175" t="s">
        <v>15</v>
      </c>
      <c r="D39" s="176" t="str">
        <f t="shared" si="0"/>
        <v>C</v>
      </c>
      <c r="E39" s="177" t="d">
        <v>2021-11-16T16:44:59.99999979045242400</v>
      </c>
      <c r="F39" s="178" t="s">
        <v>82</v>
      </c>
      <c r="G39" s="179">
        <v>4694.51</v>
      </c>
      <c r="H39" s="179">
        <v>4681.03</v>
      </c>
      <c r="I39" s="180">
        <f t="shared" si="1"/>
        <v>13.480000000000473</v>
      </c>
      <c r="J39" s="179">
        <v>4782.12</v>
      </c>
      <c r="K39" s="177" t="d">
        <v>2021-11-17T01:18:00.00000016763806350</v>
      </c>
      <c r="L39" s="179">
        <v>4698.37</v>
      </c>
      <c r="M39" s="181">
        <f t="shared" si="2"/>
        <v>3.86</v>
      </c>
      <c r="N39" s="182">
        <f t="shared" si="3"/>
        <v>0.28999999999999998</v>
      </c>
      <c r="O39" s="183">
        <f t="shared" si="4"/>
        <v>0</v>
      </c>
      <c r="P39" s="184">
        <f t="shared" si="5"/>
        <v>0.28999999999999998</v>
      </c>
      <c r="Q39" s="184">
        <f t="shared" si="6"/>
        <v>0</v>
      </c>
      <c r="R3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34727.5</v>
      </c>
      <c r="T3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34727.5</v>
      </c>
      <c r="U39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39" s="187">
        <f t="shared" si="7"/>
        <v>0</v>
      </c>
      <c r="W39" s="187">
        <f t="shared" si="8"/>
        <v>0</v>
      </c>
      <c r="X39" s="187">
        <f t="shared" si="9"/>
        <v>0</v>
      </c>
      <c r="Y39" s="187">
        <f t="shared" si="10"/>
        <v>0</v>
      </c>
      <c r="Z39" s="187">
        <f t="shared" si="11"/>
        <v>0.28999999999999998</v>
      </c>
      <c r="AA39" s="183">
        <f t="shared" si="12"/>
        <v>0</v>
      </c>
      <c r="AB39" s="187">
        <f t="shared" si="13"/>
        <v>0</v>
      </c>
      <c r="AC39" s="183">
        <f t="shared" si="14"/>
        <v>0</v>
      </c>
      <c r="AD39" s="188">
        <f t="shared" si="15"/>
        <v>0.35625000000436557</v>
      </c>
      <c r="AE39" s="188">
        <f t="shared" si="16"/>
        <v>0.35625000000436557</v>
      </c>
      <c r="AF39" s="188">
        <f t="shared" si="17"/>
        <v>0</v>
      </c>
      <c r="AG39" s="188">
        <f t="shared" si="18"/>
        <v>0</v>
      </c>
    </row>
    <row r="40" spans="2:33" ht="15" customHeight="1" x14ac:dyDescent="0.15">
      <c r="B40" s="174" t="s">
        <v>5</v>
      </c>
      <c r="C40" s="175" t="s">
        <v>15</v>
      </c>
      <c r="D40" s="176" t="str">
        <f t="shared" si="0"/>
        <v>C</v>
      </c>
      <c r="E40" s="177" t="d">
        <v>2021-11-12T16:15:00.00000020954757600</v>
      </c>
      <c r="F40" s="178" t="s">
        <v>82</v>
      </c>
      <c r="G40" s="179">
        <v>4662.87</v>
      </c>
      <c r="H40" s="179">
        <v>4648.7</v>
      </c>
      <c r="I40" s="180">
        <f t="shared" si="1"/>
        <v>14.170000000000073</v>
      </c>
      <c r="J40" s="179">
        <v>4754.96</v>
      </c>
      <c r="K40" s="177" t="d">
        <v>2021-11-15T16:50:00.00000013969838625</v>
      </c>
      <c r="L40" s="179">
        <v>4687.09</v>
      </c>
      <c r="M40" s="181">
        <f t="shared" si="2"/>
        <v>24.22</v>
      </c>
      <c r="N40" s="182">
        <f t="shared" si="3"/>
        <v>1.71</v>
      </c>
      <c r="O40" s="183">
        <f t="shared" si="4"/>
        <v>0</v>
      </c>
      <c r="P40" s="184">
        <f t="shared" si="5"/>
        <v>1.71</v>
      </c>
      <c r="Q40" s="184">
        <f t="shared" si="6"/>
        <v>0</v>
      </c>
      <c r="R4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34655</v>
      </c>
      <c r="T4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34655</v>
      </c>
      <c r="U40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40" s="187">
        <f t="shared" si="7"/>
        <v>0</v>
      </c>
      <c r="W40" s="187">
        <f t="shared" si="8"/>
        <v>0</v>
      </c>
      <c r="X40" s="187">
        <f t="shared" si="9"/>
        <v>0</v>
      </c>
      <c r="Y40" s="187">
        <f t="shared" si="10"/>
        <v>0</v>
      </c>
      <c r="Z40" s="187">
        <f t="shared" si="11"/>
        <v>1.71</v>
      </c>
      <c r="AA40" s="183">
        <f t="shared" si="12"/>
        <v>0</v>
      </c>
      <c r="AB40" s="187">
        <f t="shared" si="13"/>
        <v>0</v>
      </c>
      <c r="AC40" s="183">
        <f t="shared" si="14"/>
        <v>0</v>
      </c>
      <c r="AD40" s="188">
        <f t="shared" si="15"/>
        <v>3.0243055555547471</v>
      </c>
      <c r="AE40" s="188">
        <f t="shared" si="16"/>
        <v>3.0243055555547471</v>
      </c>
      <c r="AF40" s="188">
        <f t="shared" si="17"/>
        <v>0</v>
      </c>
      <c r="AG40" s="188">
        <f t="shared" si="18"/>
        <v>0</v>
      </c>
    </row>
    <row r="41" spans="2:33" ht="15" customHeight="1" x14ac:dyDescent="0.15">
      <c r="B41" s="174" t="s">
        <v>5</v>
      </c>
      <c r="C41" s="175" t="s">
        <v>13</v>
      </c>
      <c r="D41" s="176" t="str">
        <f t="shared" si="0"/>
        <v>C</v>
      </c>
      <c r="E41" s="177" t="d">
        <v>2021-11-10T20:15:00.000</v>
      </c>
      <c r="F41" s="178" t="s">
        <v>82</v>
      </c>
      <c r="G41" s="179">
        <v>4658.05</v>
      </c>
      <c r="H41" s="179">
        <v>4672.49</v>
      </c>
      <c r="I41" s="180">
        <f t="shared" si="1"/>
        <v>14.4399999999996</v>
      </c>
      <c r="J41" s="179">
        <v>4564.2</v>
      </c>
      <c r="K41" s="177" t="d">
        <v>2021-11-10T22:15:59.99999977648258200</v>
      </c>
      <c r="L41" s="179">
        <v>4645.6899999999996</v>
      </c>
      <c r="M41" s="181">
        <f t="shared" si="2"/>
        <v>12.36</v>
      </c>
      <c r="N41" s="182">
        <f t="shared" si="3"/>
        <v>0.86</v>
      </c>
      <c r="O41" s="183">
        <f t="shared" si="4"/>
        <v>0</v>
      </c>
      <c r="P41" s="184">
        <f t="shared" si="5"/>
        <v>0.86</v>
      </c>
      <c r="Q41" s="184">
        <f t="shared" si="6"/>
        <v>0</v>
      </c>
      <c r="R4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34227.5</v>
      </c>
      <c r="T4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34262.5</v>
      </c>
      <c r="U41" s="186">
        <f ca="1">IF(Tabla336106734812[[#This Row],[Equity]]&lt;Tabla336106734812[[#This Row],[Equity Peak]],(Tabla336106734812[[#This Row],[Equity Peak]]-Tabla336106734812[[#This Row],[Equity]])/Tabla336106734812[[#This Row],[Equity Peak]],"")</f>
        <v>1.0215249908792411E-3</v>
      </c>
      <c r="V41" s="187">
        <f t="shared" si="7"/>
        <v>0</v>
      </c>
      <c r="W41" s="187">
        <f t="shared" si="8"/>
        <v>0</v>
      </c>
      <c r="X41" s="187">
        <f t="shared" si="9"/>
        <v>0</v>
      </c>
      <c r="Y41" s="187">
        <f t="shared" si="10"/>
        <v>0</v>
      </c>
      <c r="Z41" s="187">
        <f t="shared" si="11"/>
        <v>0.86</v>
      </c>
      <c r="AA41" s="183">
        <f t="shared" si="12"/>
        <v>0</v>
      </c>
      <c r="AB41" s="187">
        <f t="shared" si="13"/>
        <v>0</v>
      </c>
      <c r="AC41" s="183">
        <f t="shared" si="14"/>
        <v>0</v>
      </c>
      <c r="AD41" s="188">
        <f t="shared" si="15"/>
        <v>8.4027777775190771E-2</v>
      </c>
      <c r="AE41" s="188">
        <f t="shared" si="16"/>
        <v>8.4027777775190771E-2</v>
      </c>
      <c r="AF41" s="188">
        <f t="shared" si="17"/>
        <v>0</v>
      </c>
      <c r="AG41" s="188">
        <f t="shared" si="18"/>
        <v>0</v>
      </c>
    </row>
    <row r="42" spans="2:33" ht="15" customHeight="1" x14ac:dyDescent="0.15">
      <c r="B42" s="174" t="s">
        <v>5</v>
      </c>
      <c r="C42" s="175" t="s">
        <v>15</v>
      </c>
      <c r="D42" s="176" t="str">
        <f t="shared" si="0"/>
        <v>C</v>
      </c>
      <c r="E42" s="177" t="d">
        <v>2021-11-09T16:30:00.000</v>
      </c>
      <c r="F42" s="178" t="s">
        <v>82</v>
      </c>
      <c r="G42" s="179">
        <v>4704.41</v>
      </c>
      <c r="H42" s="179">
        <v>4692.12</v>
      </c>
      <c r="I42" s="180">
        <f t="shared" si="1"/>
        <v>12.289999999999964</v>
      </c>
      <c r="J42" s="179">
        <v>4784.3100000000004</v>
      </c>
      <c r="K42" s="177" t="d">
        <v>2021-11-09T16:53:00.000000097788870375</v>
      </c>
      <c r="L42" s="179">
        <v>4692.12</v>
      </c>
      <c r="M42" s="181">
        <f t="shared" si="2"/>
        <v>-12.29</v>
      </c>
      <c r="N42" s="182">
        <f t="shared" si="3"/>
        <v>-1</v>
      </c>
      <c r="O42" s="183">
        <f t="shared" si="4"/>
        <v>0</v>
      </c>
      <c r="P42" s="184">
        <f t="shared" si="5"/>
        <v>0</v>
      </c>
      <c r="Q42" s="184">
        <f t="shared" si="6"/>
        <v>-1</v>
      </c>
      <c r="R4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34012.5</v>
      </c>
      <c r="T4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34262.5</v>
      </c>
      <c r="U42" s="186">
        <f ca="1">IF(Tabla336106734812[[#This Row],[Equity]]&lt;Tabla336106734812[[#This Row],[Equity Peak]],(Tabla336106734812[[#This Row],[Equity Peak]]-Tabla336106734812[[#This Row],[Equity]])/Tabla336106734812[[#This Row],[Equity Peak]],"")</f>
        <v>7.2966070777088655E-3</v>
      </c>
      <c r="V42" s="187">
        <f t="shared" si="7"/>
        <v>0</v>
      </c>
      <c r="W42" s="187">
        <f t="shared" si="8"/>
        <v>0</v>
      </c>
      <c r="X42" s="187">
        <f t="shared" si="9"/>
        <v>0</v>
      </c>
      <c r="Y42" s="187">
        <f t="shared" si="10"/>
        <v>0</v>
      </c>
      <c r="Z42" s="187">
        <f t="shared" si="11"/>
        <v>-1</v>
      </c>
      <c r="AA42" s="183">
        <f t="shared" si="12"/>
        <v>0</v>
      </c>
      <c r="AB42" s="187">
        <f t="shared" si="13"/>
        <v>0</v>
      </c>
      <c r="AC42" s="183">
        <f t="shared" si="14"/>
        <v>0</v>
      </c>
      <c r="AD42" s="188">
        <f t="shared" si="15"/>
        <v>1.5972222223354038E-2</v>
      </c>
      <c r="AE42" s="188">
        <f t="shared" si="16"/>
        <v>0</v>
      </c>
      <c r="AF42" s="188">
        <f t="shared" si="17"/>
        <v>1.5972222223354038E-2</v>
      </c>
      <c r="AG42" s="188">
        <f t="shared" si="18"/>
        <v>0</v>
      </c>
    </row>
    <row r="43" spans="2:33" ht="15" customHeight="1" x14ac:dyDescent="0.15">
      <c r="B43" s="174" t="s">
        <v>5</v>
      </c>
      <c r="C43" s="175" t="s">
        <v>15</v>
      </c>
      <c r="D43" s="176" t="str">
        <f t="shared" si="0"/>
        <v>C</v>
      </c>
      <c r="E43" s="177" t="d">
        <v>2021-11-02T15:14:59.99999979045242400</v>
      </c>
      <c r="F43" s="178" t="s">
        <v>82</v>
      </c>
      <c r="G43" s="179">
        <v>4615.83</v>
      </c>
      <c r="H43" s="179">
        <v>4601.53</v>
      </c>
      <c r="I43" s="180">
        <f t="shared" si="1"/>
        <v>14.300000000000182</v>
      </c>
      <c r="J43" s="179">
        <v>4708.76</v>
      </c>
      <c r="K43" s="177" t="d">
        <v>2021-11-04T18:24:00.00000029336660775</v>
      </c>
      <c r="L43" s="179">
        <v>4666.21</v>
      </c>
      <c r="M43" s="181">
        <f t="shared" si="2"/>
        <v>50.38</v>
      </c>
      <c r="N43" s="182">
        <f t="shared" si="3"/>
        <v>3.52</v>
      </c>
      <c r="O43" s="183">
        <f t="shared" si="4"/>
        <v>0</v>
      </c>
      <c r="P43" s="184">
        <f t="shared" si="5"/>
        <v>3.52</v>
      </c>
      <c r="Q43" s="184">
        <f t="shared" si="6"/>
        <v>0</v>
      </c>
      <c r="R4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34262.5</v>
      </c>
      <c r="T4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34262.5</v>
      </c>
      <c r="U43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43" s="187">
        <f t="shared" si="7"/>
        <v>0</v>
      </c>
      <c r="W43" s="187">
        <f t="shared" si="8"/>
        <v>0</v>
      </c>
      <c r="X43" s="187">
        <f t="shared" si="9"/>
        <v>0</v>
      </c>
      <c r="Y43" s="187">
        <f t="shared" si="10"/>
        <v>0</v>
      </c>
      <c r="Z43" s="187">
        <f t="shared" si="11"/>
        <v>3.52</v>
      </c>
      <c r="AA43" s="183">
        <f t="shared" si="12"/>
        <v>0</v>
      </c>
      <c r="AB43" s="187">
        <f t="shared" si="13"/>
        <v>0</v>
      </c>
      <c r="AC43" s="183">
        <f t="shared" si="14"/>
        <v>0</v>
      </c>
      <c r="AD43" s="188">
        <f t="shared" si="15"/>
        <v>2.1312500000058208</v>
      </c>
      <c r="AE43" s="188">
        <f t="shared" si="16"/>
        <v>2.1312500000058208</v>
      </c>
      <c r="AF43" s="188">
        <f t="shared" si="17"/>
        <v>0</v>
      </c>
      <c r="AG43" s="188">
        <f t="shared" si="18"/>
        <v>0</v>
      </c>
    </row>
    <row r="44" spans="2:33" ht="15" customHeight="1" x14ac:dyDescent="0.15">
      <c r="B44" s="174" t="s">
        <v>5</v>
      </c>
      <c r="C44" s="175" t="s">
        <v>15</v>
      </c>
      <c r="D44" s="176" t="str">
        <f t="shared" si="0"/>
        <v>C</v>
      </c>
      <c r="E44" s="177" t="d">
        <v>2021-10-29T23:00:00.00000020954757600</v>
      </c>
      <c r="F44" s="178" t="s">
        <v>82</v>
      </c>
      <c r="G44" s="179">
        <v>4604.68</v>
      </c>
      <c r="H44" s="179">
        <v>4589.68</v>
      </c>
      <c r="I44" s="180">
        <f t="shared" si="1"/>
        <v>15</v>
      </c>
      <c r="J44" s="179">
        <v>4702.1499999999996</v>
      </c>
      <c r="K44" s="177" t="d">
        <v>2021-11-01T16:37:00.00000011175870900</v>
      </c>
      <c r="L44" s="179">
        <v>4610.71</v>
      </c>
      <c r="M44" s="181">
        <f t="shared" si="2"/>
        <v>6.03</v>
      </c>
      <c r="N44" s="182">
        <f t="shared" si="3"/>
        <v>0.4</v>
      </c>
      <c r="O44" s="183">
        <f t="shared" si="4"/>
        <v>0</v>
      </c>
      <c r="P44" s="184">
        <f t="shared" si="5"/>
        <v>0.4</v>
      </c>
      <c r="Q44" s="184">
        <f t="shared" si="6"/>
        <v>0</v>
      </c>
      <c r="R4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33382.5</v>
      </c>
      <c r="T4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33382.5</v>
      </c>
      <c r="U44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44" s="187">
        <f t="shared" si="7"/>
        <v>0</v>
      </c>
      <c r="W44" s="187">
        <f t="shared" si="8"/>
        <v>0</v>
      </c>
      <c r="X44" s="187">
        <f t="shared" si="9"/>
        <v>0</v>
      </c>
      <c r="Y44" s="187">
        <f t="shared" si="10"/>
        <v>0</v>
      </c>
      <c r="Z44" s="187">
        <f t="shared" si="11"/>
        <v>0.4</v>
      </c>
      <c r="AA44" s="183">
        <f t="shared" si="12"/>
        <v>0</v>
      </c>
      <c r="AB44" s="187">
        <f t="shared" si="13"/>
        <v>0</v>
      </c>
      <c r="AC44" s="183">
        <f t="shared" si="14"/>
        <v>0</v>
      </c>
      <c r="AD44" s="188">
        <f t="shared" si="15"/>
        <v>2.734027777776646</v>
      </c>
      <c r="AE44" s="188">
        <f t="shared" si="16"/>
        <v>2.734027777776646</v>
      </c>
      <c r="AF44" s="188">
        <f t="shared" si="17"/>
        <v>0</v>
      </c>
      <c r="AG44" s="188">
        <f t="shared" si="18"/>
        <v>0</v>
      </c>
    </row>
    <row r="45" spans="2:33" ht="15" customHeight="1" x14ac:dyDescent="0.15">
      <c r="B45" s="174" t="s">
        <v>5</v>
      </c>
      <c r="C45" s="175" t="s">
        <v>15</v>
      </c>
      <c r="D45" s="176" t="str">
        <f t="shared" si="0"/>
        <v>C</v>
      </c>
      <c r="E45" s="177" t="d">
        <v>2021-10-29T18:14:59.99999979045242400</v>
      </c>
      <c r="F45" s="178" t="s">
        <v>82</v>
      </c>
      <c r="G45" s="179">
        <v>4590.97</v>
      </c>
      <c r="H45" s="179">
        <v>4576.49</v>
      </c>
      <c r="I45" s="180">
        <f t="shared" si="1"/>
        <v>14.480000000000473</v>
      </c>
      <c r="J45" s="179">
        <v>4685.1000000000004</v>
      </c>
      <c r="K45" s="177" t="d">
        <v>2021-10-29T22:16:59.99999997206032275</v>
      </c>
      <c r="L45" s="179">
        <v>4588.55</v>
      </c>
      <c r="M45" s="181">
        <f t="shared" si="2"/>
        <v>-2.42</v>
      </c>
      <c r="N45" s="182">
        <f t="shared" si="3"/>
        <v>-0.17</v>
      </c>
      <c r="O45" s="183">
        <f t="shared" si="4"/>
        <v>0</v>
      </c>
      <c r="P45" s="184">
        <f t="shared" si="5"/>
        <v>0</v>
      </c>
      <c r="Q45" s="184">
        <f t="shared" si="6"/>
        <v>-0.17</v>
      </c>
      <c r="R4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33282.5</v>
      </c>
      <c r="T4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33325</v>
      </c>
      <c r="U45" s="186">
        <f ca="1">IF(Tabla336106734812[[#This Row],[Equity]]&lt;Tabla336106734812[[#This Row],[Equity Peak]],(Tabla336106734812[[#This Row],[Equity Peak]]-Tabla336106734812[[#This Row],[Equity]])/Tabla336106734812[[#This Row],[Equity Peak]],"")</f>
        <v>1.2753188297074268E-3</v>
      </c>
      <c r="V45" s="187">
        <f t="shared" si="7"/>
        <v>0</v>
      </c>
      <c r="W45" s="187">
        <f t="shared" si="8"/>
        <v>0</v>
      </c>
      <c r="X45" s="187">
        <f t="shared" si="9"/>
        <v>0</v>
      </c>
      <c r="Y45" s="187">
        <f t="shared" si="10"/>
        <v>0</v>
      </c>
      <c r="Z45" s="187">
        <f t="shared" si="11"/>
        <v>-0.17</v>
      </c>
      <c r="AA45" s="183">
        <f t="shared" si="12"/>
        <v>0</v>
      </c>
      <c r="AB45" s="187">
        <f t="shared" si="13"/>
        <v>0</v>
      </c>
      <c r="AC45" s="183">
        <f t="shared" si="14"/>
        <v>0</v>
      </c>
      <c r="AD45" s="188">
        <f t="shared" si="15"/>
        <v>0.1680555555576575</v>
      </c>
      <c r="AE45" s="188">
        <f t="shared" si="16"/>
        <v>0</v>
      </c>
      <c r="AF45" s="188">
        <f t="shared" si="17"/>
        <v>0.1680555555576575</v>
      </c>
      <c r="AG45" s="188">
        <f t="shared" si="18"/>
        <v>0</v>
      </c>
    </row>
    <row r="46" spans="2:33" ht="15" customHeight="1" x14ac:dyDescent="0.15">
      <c r="B46" s="174" t="s">
        <v>5</v>
      </c>
      <c r="C46" s="175" t="s">
        <v>15</v>
      </c>
      <c r="D46" s="176" t="str">
        <f t="shared" si="0"/>
        <v>C</v>
      </c>
      <c r="E46" s="177" t="d">
        <v>2021-10-28T16:44:59.99999979045242400</v>
      </c>
      <c r="F46" s="178" t="s">
        <v>82</v>
      </c>
      <c r="G46" s="179">
        <v>4575.5</v>
      </c>
      <c r="H46" s="179">
        <v>4561.38</v>
      </c>
      <c r="I46" s="180">
        <f t="shared" si="1"/>
        <v>14.119999999999891</v>
      </c>
      <c r="J46" s="179">
        <v>4667.3</v>
      </c>
      <c r="K46" s="177" t="d">
        <v>2021-10-28T19:57:59.99999981839210125</v>
      </c>
      <c r="L46" s="179">
        <v>4576.83</v>
      </c>
      <c r="M46" s="181">
        <f t="shared" si="2"/>
        <v>1.33</v>
      </c>
      <c r="N46" s="182">
        <f t="shared" si="3"/>
        <v>0.09</v>
      </c>
      <c r="O46" s="183">
        <f t="shared" si="4"/>
        <v>0</v>
      </c>
      <c r="P46" s="184">
        <f t="shared" si="5"/>
        <v>0.09</v>
      </c>
      <c r="Q46" s="184">
        <f t="shared" si="6"/>
        <v>0</v>
      </c>
      <c r="R4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33325</v>
      </c>
      <c r="T4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33325</v>
      </c>
      <c r="U46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46" s="187">
        <f t="shared" si="7"/>
        <v>0</v>
      </c>
      <c r="W46" s="187">
        <f t="shared" si="8"/>
        <v>0</v>
      </c>
      <c r="X46" s="187">
        <f t="shared" si="9"/>
        <v>0</v>
      </c>
      <c r="Y46" s="187">
        <f t="shared" si="10"/>
        <v>0</v>
      </c>
      <c r="Z46" s="187">
        <f t="shared" si="11"/>
        <v>0.09</v>
      </c>
      <c r="AA46" s="183">
        <f t="shared" si="12"/>
        <v>0</v>
      </c>
      <c r="AB46" s="187">
        <f t="shared" si="13"/>
        <v>0</v>
      </c>
      <c r="AC46" s="183">
        <f t="shared" si="14"/>
        <v>0</v>
      </c>
      <c r="AD46" s="188">
        <f t="shared" si="15"/>
        <v>0.13402777777810115</v>
      </c>
      <c r="AE46" s="188">
        <f t="shared" si="16"/>
        <v>0.13402777777810115</v>
      </c>
      <c r="AF46" s="188">
        <f t="shared" si="17"/>
        <v>0</v>
      </c>
      <c r="AG46" s="188">
        <f t="shared" si="18"/>
        <v>0</v>
      </c>
    </row>
    <row r="47" spans="2:33" ht="15" customHeight="1" x14ac:dyDescent="0.15">
      <c r="B47" s="174" t="s">
        <v>5</v>
      </c>
      <c r="C47" s="175" t="s">
        <v>15</v>
      </c>
      <c r="D47" s="176" t="str">
        <f t="shared" si="0"/>
        <v>C</v>
      </c>
      <c r="E47" s="177" t="d">
        <v>2021-10-25T18:14:59.99999979045242400</v>
      </c>
      <c r="F47" s="178" t="s">
        <v>82</v>
      </c>
      <c r="G47" s="179">
        <v>4559.03</v>
      </c>
      <c r="H47" s="179">
        <v>4545.5600000000004</v>
      </c>
      <c r="I47" s="180">
        <f t="shared" si="1"/>
        <v>13.469999999999345</v>
      </c>
      <c r="J47" s="179">
        <v>4646.57</v>
      </c>
      <c r="K47" s="177" t="d">
        <v>2021-10-26T19:02:59.99999974854290475</v>
      </c>
      <c r="L47" s="179">
        <v>4581.79</v>
      </c>
      <c r="M47" s="181">
        <f t="shared" si="2"/>
        <v>22.76</v>
      </c>
      <c r="N47" s="182">
        <f t="shared" si="3"/>
        <v>1.69</v>
      </c>
      <c r="O47" s="183">
        <f t="shared" si="4"/>
        <v>0</v>
      </c>
      <c r="P47" s="184">
        <f t="shared" si="5"/>
        <v>1.69</v>
      </c>
      <c r="Q47" s="184">
        <f t="shared" si="6"/>
        <v>0</v>
      </c>
      <c r="R4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33302.5</v>
      </c>
      <c r="T4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33302.5</v>
      </c>
      <c r="U47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47" s="187">
        <f t="shared" si="7"/>
        <v>0</v>
      </c>
      <c r="W47" s="187">
        <f t="shared" si="8"/>
        <v>0</v>
      </c>
      <c r="X47" s="187">
        <f t="shared" si="9"/>
        <v>0</v>
      </c>
      <c r="Y47" s="187">
        <f t="shared" si="10"/>
        <v>0</v>
      </c>
      <c r="Z47" s="187">
        <f t="shared" si="11"/>
        <v>1.69</v>
      </c>
      <c r="AA47" s="183">
        <f t="shared" si="12"/>
        <v>0</v>
      </c>
      <c r="AB47" s="187">
        <f t="shared" si="13"/>
        <v>0</v>
      </c>
      <c r="AC47" s="183">
        <f t="shared" si="14"/>
        <v>0</v>
      </c>
      <c r="AD47" s="188">
        <f t="shared" si="15"/>
        <v>1.0333333333328483</v>
      </c>
      <c r="AE47" s="188">
        <f t="shared" si="16"/>
        <v>1.0333333333328483</v>
      </c>
      <c r="AF47" s="188">
        <f t="shared" si="17"/>
        <v>0</v>
      </c>
      <c r="AG47" s="188">
        <f t="shared" si="18"/>
        <v>0</v>
      </c>
    </row>
    <row r="48" spans="2:33" ht="15" customHeight="1" x14ac:dyDescent="0.15">
      <c r="B48" s="174" t="s">
        <v>5</v>
      </c>
      <c r="C48" s="175" t="s">
        <v>15</v>
      </c>
      <c r="D48" s="176" t="str">
        <f t="shared" si="0"/>
        <v>C</v>
      </c>
      <c r="E48" s="177" t="d">
        <v>2021-10-25T16:30:00.000</v>
      </c>
      <c r="F48" s="178" t="s">
        <v>82</v>
      </c>
      <c r="G48" s="179">
        <v>4555.41</v>
      </c>
      <c r="H48" s="179">
        <v>4542.2</v>
      </c>
      <c r="I48" s="180">
        <f t="shared" si="1"/>
        <v>13.210000000000036</v>
      </c>
      <c r="J48" s="179">
        <v>4641.26</v>
      </c>
      <c r="K48" s="177" t="d">
        <v>2021-10-25T16:38:00.00000030733644975</v>
      </c>
      <c r="L48" s="179">
        <v>4542.2</v>
      </c>
      <c r="M48" s="181">
        <f t="shared" si="2"/>
        <v>-13.21</v>
      </c>
      <c r="N48" s="182">
        <f t="shared" si="3"/>
        <v>-1</v>
      </c>
      <c r="O48" s="183">
        <f t="shared" si="4"/>
        <v>0</v>
      </c>
      <c r="P48" s="184">
        <f t="shared" si="5"/>
        <v>0</v>
      </c>
      <c r="Q48" s="184">
        <f t="shared" si="6"/>
        <v>-1</v>
      </c>
      <c r="R4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32880</v>
      </c>
      <c r="T4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33130</v>
      </c>
      <c r="U48" s="186">
        <f ca="1">IF(Tabla336106734812[[#This Row],[Equity]]&lt;Tabla336106734812[[#This Row],[Equity Peak]],(Tabla336106734812[[#This Row],[Equity Peak]]-Tabla336106734812[[#This Row],[Equity]])/Tabla336106734812[[#This Row],[Equity Peak]],"")</f>
        <v>7.5460307878056146E-3</v>
      </c>
      <c r="V48" s="187">
        <f t="shared" si="7"/>
        <v>0</v>
      </c>
      <c r="W48" s="187">
        <f t="shared" si="8"/>
        <v>0</v>
      </c>
      <c r="X48" s="187">
        <f t="shared" si="9"/>
        <v>0</v>
      </c>
      <c r="Y48" s="187">
        <f t="shared" si="10"/>
        <v>0</v>
      </c>
      <c r="Z48" s="187">
        <f t="shared" si="11"/>
        <v>-1</v>
      </c>
      <c r="AA48" s="183">
        <f t="shared" si="12"/>
        <v>0</v>
      </c>
      <c r="AB48" s="187">
        <f t="shared" si="13"/>
        <v>0</v>
      </c>
      <c r="AC48" s="183">
        <f t="shared" si="14"/>
        <v>0</v>
      </c>
      <c r="AD48" s="188">
        <f t="shared" si="15"/>
        <v>5.5555555591126904E-3</v>
      </c>
      <c r="AE48" s="188">
        <f t="shared" si="16"/>
        <v>0</v>
      </c>
      <c r="AF48" s="188">
        <f t="shared" si="17"/>
        <v>5.5555555591126904E-3</v>
      </c>
      <c r="AG48" s="188">
        <f t="shared" si="18"/>
        <v>0</v>
      </c>
    </row>
    <row r="49" spans="2:33" ht="15" customHeight="1" x14ac:dyDescent="0.15">
      <c r="B49" s="174" t="s">
        <v>5</v>
      </c>
      <c r="C49" s="175" t="s">
        <v>15</v>
      </c>
      <c r="D49" s="176" t="str">
        <f t="shared" ref="D49:D80" si="19">IF(E49&lt;&gt;"",IF(K49&lt;&gt;"","C","O"),"")</f>
        <v>C</v>
      </c>
      <c r="E49" s="177" t="d">
        <v>2021-10-13T21:14:59.99999979045242400</v>
      </c>
      <c r="F49" s="178" t="s">
        <v>82</v>
      </c>
      <c r="G49" s="179">
        <v>4366.3999999999996</v>
      </c>
      <c r="H49" s="179">
        <v>4343.17</v>
      </c>
      <c r="I49" s="180">
        <f t="shared" ref="I49:I80" si="20">ABS(G49-H49)</f>
        <v>23.229999999999563</v>
      </c>
      <c r="J49" s="179">
        <v>4517.3999999999996</v>
      </c>
      <c r="K49" s="177" t="d">
        <v>2021-10-18T09:47:59.9999999580904875</v>
      </c>
      <c r="L49" s="179">
        <v>4453.4399999999996</v>
      </c>
      <c r="M49" s="181">
        <f t="shared" ref="M49:M80" si="21">ROUND(IF(C49="L",(L49-G49),(G49-L49)),4)</f>
        <v>87.04</v>
      </c>
      <c r="N49" s="182">
        <f t="shared" ref="N49:N80" si="22">IFERROR(ROUND((M49/I49),2),"")</f>
        <v>3.75</v>
      </c>
      <c r="O49" s="183">
        <f t="shared" ref="O49:O80" si="23">IF(D49="O",IF(N49&lt;0,N49,0),0)</f>
        <v>0</v>
      </c>
      <c r="P49" s="184">
        <f t="shared" ref="P49:P80" si="24">IF(N49&gt;= 0,N49,0)</f>
        <v>3.75</v>
      </c>
      <c r="Q49" s="184">
        <f t="shared" ref="Q49:Q80" si="25">IF(N49&lt;0,N49,0)</f>
        <v>0</v>
      </c>
      <c r="R4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4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33130</v>
      </c>
      <c r="T4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33130</v>
      </c>
      <c r="U49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49" s="187">
        <f t="shared" ref="V49:V80" si="26">IF(B49="FX",N49,0)</f>
        <v>0</v>
      </c>
      <c r="W49" s="187">
        <f t="shared" ref="W49:W80" si="27">IF(D49="O",IF(V49&lt;0,V49,0),0)</f>
        <v>0</v>
      </c>
      <c r="X49" s="187">
        <f t="shared" ref="X49:X80" si="28">IF(B49="COM",N49,0)</f>
        <v>0</v>
      </c>
      <c r="Y49" s="187">
        <f t="shared" ref="Y49:Y80" si="29">IF(D49="O",IF(X49&lt;0,X49,0),0)</f>
        <v>0</v>
      </c>
      <c r="Z49" s="187">
        <f t="shared" ref="Z49:Z80" si="30">IF(B49="IND",N49,0)</f>
        <v>3.75</v>
      </c>
      <c r="AA49" s="183">
        <f t="shared" ref="AA49:AA80" si="31">IF(D49="O",IF(Z49&lt;0,Z49,0),0)</f>
        <v>0</v>
      </c>
      <c r="AB49" s="187">
        <f t="shared" ref="AB49:AB80" si="32">IF(B49="CRYPTO",N49,0)</f>
        <v>0</v>
      </c>
      <c r="AC49" s="183">
        <f t="shared" ref="AC49:AC80" si="33">IF(D49="O",IF(AB49&lt;0,AB49,0),0)</f>
        <v>0</v>
      </c>
      <c r="AD49" s="188">
        <f t="shared" ref="AD49:AD80" si="34">IF(K49&lt;&gt;"",K49-E49,0)</f>
        <v>4.5229166666686069</v>
      </c>
      <c r="AE49" s="188">
        <f t="shared" ref="AE49:AE80" si="35">IF(N49&gt;0,AD49,0)</f>
        <v>4.5229166666686069</v>
      </c>
      <c r="AF49" s="188">
        <f t="shared" ref="AF49:AF80" si="36">IF(N49&lt;0,AD49,0)</f>
        <v>0</v>
      </c>
      <c r="AG49" s="188">
        <f t="shared" ref="AG49:AG80" si="37">IF(N49=0,AD49,0)</f>
        <v>0</v>
      </c>
    </row>
    <row r="50" spans="2:33" ht="15" customHeight="1" x14ac:dyDescent="0.15">
      <c r="B50" s="174" t="s">
        <v>5</v>
      </c>
      <c r="C50" s="175" t="s">
        <v>13</v>
      </c>
      <c r="D50" s="176" t="str">
        <f t="shared" si="19"/>
        <v>C</v>
      </c>
      <c r="E50" s="177" t="d">
        <v>2021-10-13T17:15:00.000</v>
      </c>
      <c r="F50" s="178" t="s">
        <v>82</v>
      </c>
      <c r="G50" s="179">
        <v>4329.45</v>
      </c>
      <c r="H50" s="179">
        <v>4351.9799999999996</v>
      </c>
      <c r="I50" s="180">
        <f t="shared" si="20"/>
        <v>22.529999999999745</v>
      </c>
      <c r="J50" s="179">
        <v>4182.9799999999996</v>
      </c>
      <c r="K50" s="177" t="d">
        <v>2021-10-13T18:47:59.9999999580904875</v>
      </c>
      <c r="L50" s="179">
        <v>4351.9799999999996</v>
      </c>
      <c r="M50" s="181">
        <f t="shared" si="21"/>
        <v>-22.53</v>
      </c>
      <c r="N50" s="182">
        <f t="shared" si="22"/>
        <v>-1</v>
      </c>
      <c r="O50" s="183">
        <f t="shared" si="23"/>
        <v>0</v>
      </c>
      <c r="P50" s="184">
        <f t="shared" si="24"/>
        <v>0</v>
      </c>
      <c r="Q50" s="184">
        <f t="shared" si="25"/>
        <v>-1</v>
      </c>
      <c r="R5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32192.5</v>
      </c>
      <c r="T5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32935</v>
      </c>
      <c r="U50" s="186">
        <f ca="1">IF(Tabla336106734812[[#This Row],[Equity]]&lt;Tabla336106734812[[#This Row],[Equity Peak]],(Tabla336106734812[[#This Row],[Equity Peak]]-Tabla336106734812[[#This Row],[Equity]])/Tabla336106734812[[#This Row],[Equity Peak]],"")</f>
        <v>2.2544405647487477E-2</v>
      </c>
      <c r="V50" s="187">
        <f t="shared" si="26"/>
        <v>0</v>
      </c>
      <c r="W50" s="187">
        <f t="shared" si="27"/>
        <v>0</v>
      </c>
      <c r="X50" s="187">
        <f t="shared" si="28"/>
        <v>0</v>
      </c>
      <c r="Y50" s="187">
        <f t="shared" si="29"/>
        <v>0</v>
      </c>
      <c r="Z50" s="187">
        <f t="shared" si="30"/>
        <v>-1</v>
      </c>
      <c r="AA50" s="183">
        <f t="shared" si="31"/>
        <v>0</v>
      </c>
      <c r="AB50" s="187">
        <f t="shared" si="32"/>
        <v>0</v>
      </c>
      <c r="AC50" s="183">
        <f t="shared" si="33"/>
        <v>0</v>
      </c>
      <c r="AD50" s="188">
        <f t="shared" si="34"/>
        <v>6.4583333332848269E-2</v>
      </c>
      <c r="AE50" s="188">
        <f t="shared" si="35"/>
        <v>0</v>
      </c>
      <c r="AF50" s="188">
        <f t="shared" si="36"/>
        <v>6.4583333332848269E-2</v>
      </c>
      <c r="AG50" s="188">
        <f t="shared" si="37"/>
        <v>0</v>
      </c>
    </row>
    <row r="51" spans="2:33" ht="15" customHeight="1" x14ac:dyDescent="0.15">
      <c r="B51" s="174" t="s">
        <v>5</v>
      </c>
      <c r="C51" s="175" t="s">
        <v>15</v>
      </c>
      <c r="D51" s="176" t="str">
        <f t="shared" si="19"/>
        <v>C</v>
      </c>
      <c r="E51" s="177" t="d">
        <v>2021-10-12T15:30:00.00000020954757600</v>
      </c>
      <c r="F51" s="178" t="s">
        <v>82</v>
      </c>
      <c r="G51" s="179">
        <v>4372.3500000000004</v>
      </c>
      <c r="H51" s="179">
        <v>4348.07</v>
      </c>
      <c r="I51" s="180">
        <f t="shared" si="20"/>
        <v>24.280000000000655</v>
      </c>
      <c r="J51" s="179">
        <v>4530.1899999999996</v>
      </c>
      <c r="K51" s="177" t="d">
        <v>2021-10-12T16:47:00.00000018160789875</v>
      </c>
      <c r="L51" s="179">
        <v>4348.07</v>
      </c>
      <c r="M51" s="181">
        <f t="shared" si="21"/>
        <v>-24.28</v>
      </c>
      <c r="N51" s="182">
        <f t="shared" si="22"/>
        <v>-1</v>
      </c>
      <c r="O51" s="183">
        <f t="shared" si="23"/>
        <v>0</v>
      </c>
      <c r="P51" s="184">
        <f t="shared" si="24"/>
        <v>0</v>
      </c>
      <c r="Q51" s="184">
        <f t="shared" si="25"/>
        <v>-1</v>
      </c>
      <c r="R5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32442.5</v>
      </c>
      <c r="T5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32935</v>
      </c>
      <c r="U51" s="186">
        <f ca="1">IF(Tabla336106734812[[#This Row],[Equity]]&lt;Tabla336106734812[[#This Row],[Equity Peak]],(Tabla336106734812[[#This Row],[Equity Peak]]-Tabla336106734812[[#This Row],[Equity]])/Tabla336106734812[[#This Row],[Equity Peak]],"")</f>
        <v>1.495369667526947E-2</v>
      </c>
      <c r="V51" s="187">
        <f t="shared" si="26"/>
        <v>0</v>
      </c>
      <c r="W51" s="187">
        <f t="shared" si="27"/>
        <v>0</v>
      </c>
      <c r="X51" s="187">
        <f t="shared" si="28"/>
        <v>0</v>
      </c>
      <c r="Y51" s="187">
        <f t="shared" si="29"/>
        <v>0</v>
      </c>
      <c r="Z51" s="187">
        <f t="shared" si="30"/>
        <v>-1</v>
      </c>
      <c r="AA51" s="183">
        <f t="shared" si="31"/>
        <v>0</v>
      </c>
      <c r="AB51" s="187">
        <f t="shared" si="32"/>
        <v>0</v>
      </c>
      <c r="AC51" s="183">
        <f t="shared" si="33"/>
        <v>0</v>
      </c>
      <c r="AD51" s="188">
        <f t="shared" si="34"/>
        <v>5.3472222221898846E-2</v>
      </c>
      <c r="AE51" s="188">
        <f t="shared" si="35"/>
        <v>0</v>
      </c>
      <c r="AF51" s="188">
        <f t="shared" si="36"/>
        <v>5.3472222221898846E-2</v>
      </c>
      <c r="AG51" s="188">
        <f t="shared" si="37"/>
        <v>0</v>
      </c>
    </row>
    <row r="52" spans="2:33" ht="15" customHeight="1" x14ac:dyDescent="0.15">
      <c r="B52" s="174" t="s">
        <v>5</v>
      </c>
      <c r="C52" s="175" t="s">
        <v>13</v>
      </c>
      <c r="D52" s="176" t="str">
        <f t="shared" si="19"/>
        <v>C</v>
      </c>
      <c r="E52" s="177" t="d">
        <v>2021-10-11T23:00:00.00000020954757600</v>
      </c>
      <c r="F52" s="178" t="s">
        <v>82</v>
      </c>
      <c r="G52" s="179">
        <v>4358.5600000000004</v>
      </c>
      <c r="H52" s="179">
        <v>4383.38</v>
      </c>
      <c r="I52" s="180">
        <f t="shared" si="20"/>
        <v>24.819999999999709</v>
      </c>
      <c r="J52" s="179">
        <v>4197.2299999999996</v>
      </c>
      <c r="K52" s="177" t="d">
        <v>2021-10-12T11:48:00.00000016763806350</v>
      </c>
      <c r="L52" s="179">
        <v>4353.2700000000004</v>
      </c>
      <c r="M52" s="181">
        <f t="shared" si="21"/>
        <v>5.29</v>
      </c>
      <c r="N52" s="182">
        <f t="shared" si="22"/>
        <v>0.21</v>
      </c>
      <c r="O52" s="183">
        <f t="shared" si="23"/>
        <v>0</v>
      </c>
      <c r="P52" s="184">
        <f t="shared" si="24"/>
        <v>0.21</v>
      </c>
      <c r="Q52" s="184">
        <f t="shared" si="25"/>
        <v>0</v>
      </c>
      <c r="R5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32692.5</v>
      </c>
      <c r="T5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32935</v>
      </c>
      <c r="U52" s="186">
        <f ca="1">IF(Tabla336106734812[[#This Row],[Equity]]&lt;Tabla336106734812[[#This Row],[Equity Peak]],(Tabla336106734812[[#This Row],[Equity Peak]]-Tabla336106734812[[#This Row],[Equity]])/Tabla336106734812[[#This Row],[Equity Peak]],"")</f>
        <v>7.3629877030514648E-3</v>
      </c>
      <c r="V52" s="187">
        <f t="shared" si="26"/>
        <v>0</v>
      </c>
      <c r="W52" s="187">
        <f t="shared" si="27"/>
        <v>0</v>
      </c>
      <c r="X52" s="187">
        <f t="shared" si="28"/>
        <v>0</v>
      </c>
      <c r="Y52" s="187">
        <f t="shared" si="29"/>
        <v>0</v>
      </c>
      <c r="Z52" s="187">
        <f t="shared" si="30"/>
        <v>0.21</v>
      </c>
      <c r="AA52" s="183">
        <f t="shared" si="31"/>
        <v>0</v>
      </c>
      <c r="AB52" s="187">
        <f t="shared" si="32"/>
        <v>0</v>
      </c>
      <c r="AC52" s="183">
        <f t="shared" si="33"/>
        <v>0</v>
      </c>
      <c r="AD52" s="188">
        <f t="shared" si="34"/>
        <v>0.53333333333284827</v>
      </c>
      <c r="AE52" s="188">
        <f t="shared" si="35"/>
        <v>0.53333333333284827</v>
      </c>
      <c r="AF52" s="188">
        <f t="shared" si="36"/>
        <v>0</v>
      </c>
      <c r="AG52" s="188">
        <f t="shared" si="37"/>
        <v>0</v>
      </c>
    </row>
    <row r="53" spans="2:33" ht="15" customHeight="1" x14ac:dyDescent="0.15">
      <c r="B53" s="174" t="s">
        <v>5</v>
      </c>
      <c r="C53" s="175" t="s">
        <v>15</v>
      </c>
      <c r="D53" s="176" t="str">
        <f t="shared" si="19"/>
        <v>C</v>
      </c>
      <c r="E53" s="177" t="d">
        <v>2021-10-11T16:44:59.99999979045242400</v>
      </c>
      <c r="F53" s="178" t="s">
        <v>82</v>
      </c>
      <c r="G53" s="179">
        <v>4395.38</v>
      </c>
      <c r="H53" s="179">
        <v>4371.0200000000004</v>
      </c>
      <c r="I53" s="180">
        <f t="shared" si="20"/>
        <v>24.359999999999673</v>
      </c>
      <c r="J53" s="179">
        <v>4553.75</v>
      </c>
      <c r="K53" s="177" t="d">
        <v>2021-10-11T19:53:00.000000097788870375</v>
      </c>
      <c r="L53" s="179">
        <v>4389.1899999999996</v>
      </c>
      <c r="M53" s="181">
        <f t="shared" si="21"/>
        <v>-6.19</v>
      </c>
      <c r="N53" s="182">
        <f t="shared" si="22"/>
        <v>-0.25</v>
      </c>
      <c r="O53" s="183">
        <f t="shared" si="23"/>
        <v>0</v>
      </c>
      <c r="P53" s="184">
        <f t="shared" si="24"/>
        <v>0</v>
      </c>
      <c r="Q53" s="184">
        <f t="shared" si="25"/>
        <v>-0.25</v>
      </c>
      <c r="R5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32640</v>
      </c>
      <c r="T5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32935</v>
      </c>
      <c r="U53" s="186">
        <f ca="1">IF(Tabla336106734812[[#This Row],[Equity]]&lt;Tabla336106734812[[#This Row],[Equity Peak]],(Tabla336106734812[[#This Row],[Equity Peak]]-Tabla336106734812[[#This Row],[Equity]])/Tabla336106734812[[#This Row],[Equity Peak]],"")</f>
        <v>8.9570365872172469E-3</v>
      </c>
      <c r="V53" s="187">
        <f t="shared" si="26"/>
        <v>0</v>
      </c>
      <c r="W53" s="187">
        <f t="shared" si="27"/>
        <v>0</v>
      </c>
      <c r="X53" s="187">
        <f t="shared" si="28"/>
        <v>0</v>
      </c>
      <c r="Y53" s="187">
        <f t="shared" si="29"/>
        <v>0</v>
      </c>
      <c r="Z53" s="187">
        <f t="shared" si="30"/>
        <v>-0.25</v>
      </c>
      <c r="AA53" s="183">
        <f t="shared" si="31"/>
        <v>0</v>
      </c>
      <c r="AB53" s="187">
        <f t="shared" si="32"/>
        <v>0</v>
      </c>
      <c r="AC53" s="183">
        <f t="shared" si="33"/>
        <v>0</v>
      </c>
      <c r="AD53" s="188">
        <f t="shared" si="34"/>
        <v>0.13055555555911269</v>
      </c>
      <c r="AE53" s="188">
        <f t="shared" si="35"/>
        <v>0</v>
      </c>
      <c r="AF53" s="188">
        <f t="shared" si="36"/>
        <v>0.13055555555911269</v>
      </c>
      <c r="AG53" s="188">
        <f t="shared" si="37"/>
        <v>0</v>
      </c>
    </row>
    <row r="54" spans="2:33" ht="15" customHeight="1" x14ac:dyDescent="0.15">
      <c r="B54" s="174" t="s">
        <v>5</v>
      </c>
      <c r="C54" s="175" t="s">
        <v>13</v>
      </c>
      <c r="D54" s="176" t="str">
        <f t="shared" si="19"/>
        <v>C</v>
      </c>
      <c r="E54" s="177" t="d">
        <v>2021-10-11T02:45:00.00000020954757600</v>
      </c>
      <c r="F54" s="178" t="s">
        <v>82</v>
      </c>
      <c r="G54" s="179">
        <v>4367.62</v>
      </c>
      <c r="H54" s="179">
        <v>4394.03</v>
      </c>
      <c r="I54" s="180">
        <f t="shared" si="20"/>
        <v>26.409999999999854</v>
      </c>
      <c r="J54" s="179">
        <v>4195.9399999999996</v>
      </c>
      <c r="K54" s="177" t="d">
        <v>2021-10-11T16:41:59.99999983236193650</v>
      </c>
      <c r="L54" s="179">
        <v>4392.2</v>
      </c>
      <c r="M54" s="181">
        <f t="shared" si="21"/>
        <v>-24.58</v>
      </c>
      <c r="N54" s="182">
        <f t="shared" si="22"/>
        <v>-0.93</v>
      </c>
      <c r="O54" s="183">
        <f t="shared" si="23"/>
        <v>0</v>
      </c>
      <c r="P54" s="184">
        <f t="shared" si="24"/>
        <v>0</v>
      </c>
      <c r="Q54" s="184">
        <f t="shared" si="25"/>
        <v>-0.93</v>
      </c>
      <c r="R5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32702.5</v>
      </c>
      <c r="T5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32935</v>
      </c>
      <c r="U54" s="186">
        <f ca="1">IF(Tabla336106734812[[#This Row],[Equity]]&lt;Tabla336106734812[[#This Row],[Equity Peak]],(Tabla336106734812[[#This Row],[Equity Peak]]-Tabla336106734812[[#This Row],[Equity]])/Tabla336106734812[[#This Row],[Equity Peak]],"")</f>
        <v>7.0593593441627446E-3</v>
      </c>
      <c r="V54" s="187">
        <f t="shared" si="26"/>
        <v>0</v>
      </c>
      <c r="W54" s="187">
        <f t="shared" si="27"/>
        <v>0</v>
      </c>
      <c r="X54" s="187">
        <f t="shared" si="28"/>
        <v>0</v>
      </c>
      <c r="Y54" s="187">
        <f t="shared" si="29"/>
        <v>0</v>
      </c>
      <c r="Z54" s="187">
        <f t="shared" si="30"/>
        <v>-0.93</v>
      </c>
      <c r="AA54" s="183">
        <f t="shared" si="31"/>
        <v>0</v>
      </c>
      <c r="AB54" s="187">
        <f t="shared" si="32"/>
        <v>0</v>
      </c>
      <c r="AC54" s="183">
        <f t="shared" si="33"/>
        <v>0</v>
      </c>
      <c r="AD54" s="188">
        <f t="shared" si="34"/>
        <v>0.58124999999563443</v>
      </c>
      <c r="AE54" s="188">
        <f t="shared" si="35"/>
        <v>0</v>
      </c>
      <c r="AF54" s="188">
        <f t="shared" si="36"/>
        <v>0.58124999999563443</v>
      </c>
      <c r="AG54" s="188">
        <f t="shared" si="37"/>
        <v>0</v>
      </c>
    </row>
    <row r="55" spans="2:33" ht="15" customHeight="1" x14ac:dyDescent="0.15">
      <c r="B55" s="174" t="s">
        <v>5</v>
      </c>
      <c r="C55" s="175" t="s">
        <v>15</v>
      </c>
      <c r="D55" s="176" t="str">
        <f t="shared" si="19"/>
        <v>C</v>
      </c>
      <c r="E55" s="177" t="d">
        <v>2021-10-06T21:14:59.99999979045242400</v>
      </c>
      <c r="F55" s="178" t="s">
        <v>82</v>
      </c>
      <c r="G55" s="179">
        <v>4351.75</v>
      </c>
      <c r="H55" s="179">
        <v>4320.38</v>
      </c>
      <c r="I55" s="180">
        <f t="shared" si="20"/>
        <v>31.369999999999891</v>
      </c>
      <c r="J55" s="179">
        <v>4555.66</v>
      </c>
      <c r="K55" s="177" t="d">
        <v>2021-10-07T22:53:00.000000097788870375</v>
      </c>
      <c r="L55" s="179">
        <v>4397</v>
      </c>
      <c r="M55" s="181">
        <f t="shared" si="21"/>
        <v>45.25</v>
      </c>
      <c r="N55" s="182">
        <f t="shared" si="22"/>
        <v>1.44</v>
      </c>
      <c r="O55" s="183">
        <f t="shared" si="23"/>
        <v>0</v>
      </c>
      <c r="P55" s="184">
        <f t="shared" si="24"/>
        <v>1.44</v>
      </c>
      <c r="Q55" s="184">
        <f t="shared" si="25"/>
        <v>0</v>
      </c>
      <c r="R5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32935</v>
      </c>
      <c r="T5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32935</v>
      </c>
      <c r="U55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55" s="187">
        <f t="shared" si="26"/>
        <v>0</v>
      </c>
      <c r="W55" s="187">
        <f t="shared" si="27"/>
        <v>0</v>
      </c>
      <c r="X55" s="187">
        <f t="shared" si="28"/>
        <v>0</v>
      </c>
      <c r="Y55" s="187">
        <f t="shared" si="29"/>
        <v>0</v>
      </c>
      <c r="Z55" s="187">
        <f t="shared" si="30"/>
        <v>1.44</v>
      </c>
      <c r="AA55" s="183">
        <f t="shared" si="31"/>
        <v>0</v>
      </c>
      <c r="AB55" s="187">
        <f t="shared" si="32"/>
        <v>0</v>
      </c>
      <c r="AC55" s="183">
        <f t="shared" si="33"/>
        <v>0</v>
      </c>
      <c r="AD55" s="188">
        <f t="shared" si="34"/>
        <v>1.0680555555591127</v>
      </c>
      <c r="AE55" s="188">
        <f t="shared" si="35"/>
        <v>1.0680555555591127</v>
      </c>
      <c r="AF55" s="188">
        <f t="shared" si="36"/>
        <v>0</v>
      </c>
      <c r="AG55" s="188">
        <f t="shared" si="37"/>
        <v>0</v>
      </c>
    </row>
    <row r="56" spans="2:33" ht="15" customHeight="1" x14ac:dyDescent="0.15">
      <c r="B56" s="174" t="s">
        <v>5</v>
      </c>
      <c r="C56" s="175" t="s">
        <v>13</v>
      </c>
      <c r="D56" s="176" t="str">
        <f t="shared" si="19"/>
        <v>C</v>
      </c>
      <c r="E56" s="177" t="d">
        <v>2021-10-06T10:15:00.00000020954757600</v>
      </c>
      <c r="F56" s="178" t="s">
        <v>82</v>
      </c>
      <c r="G56" s="179">
        <v>4309.07</v>
      </c>
      <c r="H56" s="179">
        <v>4338.0600000000004</v>
      </c>
      <c r="I56" s="180">
        <f t="shared" si="20"/>
        <v>28.990000000000691</v>
      </c>
      <c r="J56" s="179">
        <v>4120.6499999999996</v>
      </c>
      <c r="K56" s="177" t="d">
        <v>2021-10-06T16:31:59.99999976251274675</v>
      </c>
      <c r="L56" s="179">
        <v>4311.9399999999996</v>
      </c>
      <c r="M56" s="181">
        <f t="shared" si="21"/>
        <v>-2.87</v>
      </c>
      <c r="N56" s="182">
        <f t="shared" si="22"/>
        <v>-0.1</v>
      </c>
      <c r="O56" s="183">
        <f t="shared" si="23"/>
        <v>0</v>
      </c>
      <c r="P56" s="184">
        <f t="shared" si="24"/>
        <v>0</v>
      </c>
      <c r="Q56" s="184">
        <f t="shared" si="25"/>
        <v>-0.1</v>
      </c>
      <c r="R5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32575</v>
      </c>
      <c r="T5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32790</v>
      </c>
      <c r="U56" s="186">
        <f ca="1">IF(Tabla336106734812[[#This Row],[Equity]]&lt;Tabla336106734812[[#This Row],[Equity Peak]],(Tabla336106734812[[#This Row],[Equity Peak]]-Tabla336106734812[[#This Row],[Equity]])/Tabla336106734812[[#This Row],[Equity Peak]],"")</f>
        <v>6.5568770966758158E-3</v>
      </c>
      <c r="V56" s="187">
        <f t="shared" si="26"/>
        <v>0</v>
      </c>
      <c r="W56" s="187">
        <f t="shared" si="27"/>
        <v>0</v>
      </c>
      <c r="X56" s="187">
        <f t="shared" si="28"/>
        <v>0</v>
      </c>
      <c r="Y56" s="187">
        <f t="shared" si="29"/>
        <v>0</v>
      </c>
      <c r="Z56" s="187">
        <f t="shared" si="30"/>
        <v>-0.1</v>
      </c>
      <c r="AA56" s="183">
        <f t="shared" si="31"/>
        <v>0</v>
      </c>
      <c r="AB56" s="187">
        <f t="shared" si="32"/>
        <v>0</v>
      </c>
      <c r="AC56" s="183">
        <f t="shared" si="33"/>
        <v>0</v>
      </c>
      <c r="AD56" s="188">
        <f t="shared" si="34"/>
        <v>0.26180555555038154</v>
      </c>
      <c r="AE56" s="188">
        <f t="shared" si="35"/>
        <v>0</v>
      </c>
      <c r="AF56" s="188">
        <f t="shared" si="36"/>
        <v>0.26180555555038154</v>
      </c>
      <c r="AG56" s="188">
        <f t="shared" si="37"/>
        <v>0</v>
      </c>
    </row>
    <row r="57" spans="2:33" ht="15" customHeight="1" x14ac:dyDescent="0.15">
      <c r="B57" s="174" t="s">
        <v>5</v>
      </c>
      <c r="C57" s="175" t="s">
        <v>15</v>
      </c>
      <c r="D57" s="176" t="str">
        <f t="shared" si="19"/>
        <v>C</v>
      </c>
      <c r="E57" s="177" t="d">
        <v>2021-10-05T18:00:00.000</v>
      </c>
      <c r="F57" s="178" t="s">
        <v>82</v>
      </c>
      <c r="G57" s="179">
        <v>4358.51</v>
      </c>
      <c r="H57" s="179">
        <v>4329.16</v>
      </c>
      <c r="I57" s="180">
        <f t="shared" si="20"/>
        <v>29.350000000000364</v>
      </c>
      <c r="J57" s="179">
        <v>4549.3100000000004</v>
      </c>
      <c r="K57" s="177" t="d">
        <v>2021-10-06T02:48:00.00000016763806350</v>
      </c>
      <c r="L57" s="179">
        <v>4336.2700000000004</v>
      </c>
      <c r="M57" s="181">
        <f t="shared" si="21"/>
        <v>-22.24</v>
      </c>
      <c r="N57" s="182">
        <f t="shared" si="22"/>
        <v>-0.76</v>
      </c>
      <c r="O57" s="183">
        <f t="shared" si="23"/>
        <v>0</v>
      </c>
      <c r="P57" s="184">
        <f t="shared" si="24"/>
        <v>0</v>
      </c>
      <c r="Q57" s="184">
        <f t="shared" si="25"/>
        <v>-0.76</v>
      </c>
      <c r="R5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32600</v>
      </c>
      <c r="T5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32790</v>
      </c>
      <c r="U57" s="186">
        <f ca="1">IF(Tabla336106734812[[#This Row],[Equity]]&lt;Tabla336106734812[[#This Row],[Equity Peak]],(Tabla336106734812[[#This Row],[Equity Peak]]-Tabla336106734812[[#This Row],[Equity]])/Tabla336106734812[[#This Row],[Equity Peak]],"")</f>
        <v>5.7944495272949067E-3</v>
      </c>
      <c r="V57" s="187">
        <f t="shared" si="26"/>
        <v>0</v>
      </c>
      <c r="W57" s="187">
        <f t="shared" si="27"/>
        <v>0</v>
      </c>
      <c r="X57" s="187">
        <f t="shared" si="28"/>
        <v>0</v>
      </c>
      <c r="Y57" s="187">
        <f t="shared" si="29"/>
        <v>0</v>
      </c>
      <c r="Z57" s="187">
        <f t="shared" si="30"/>
        <v>-0.76</v>
      </c>
      <c r="AA57" s="183">
        <f t="shared" si="31"/>
        <v>0</v>
      </c>
      <c r="AB57" s="187">
        <f t="shared" si="32"/>
        <v>0</v>
      </c>
      <c r="AC57" s="183">
        <f t="shared" si="33"/>
        <v>0</v>
      </c>
      <c r="AD57" s="188">
        <f t="shared" si="34"/>
        <v>0.36666666666860692</v>
      </c>
      <c r="AE57" s="188">
        <f t="shared" si="35"/>
        <v>0</v>
      </c>
      <c r="AF57" s="188">
        <f t="shared" si="36"/>
        <v>0.36666666666860692</v>
      </c>
      <c r="AG57" s="188">
        <f t="shared" si="37"/>
        <v>0</v>
      </c>
    </row>
    <row r="58" spans="2:33" ht="15" customHeight="1" x14ac:dyDescent="0.15">
      <c r="B58" s="174" t="s">
        <v>5</v>
      </c>
      <c r="C58" s="175" t="s">
        <v>13</v>
      </c>
      <c r="D58" s="176" t="str">
        <f t="shared" si="19"/>
        <v>C</v>
      </c>
      <c r="E58" s="177" t="d">
        <v>2021-10-04T17:29:59.99999979045242400</v>
      </c>
      <c r="F58" s="178" t="s">
        <v>82</v>
      </c>
      <c r="G58" s="179">
        <v>4312.3900000000003</v>
      </c>
      <c r="H58" s="179">
        <v>4341.59</v>
      </c>
      <c r="I58" s="180">
        <f t="shared" si="20"/>
        <v>29.199999999999818</v>
      </c>
      <c r="J58" s="179">
        <v>4122.6099999999997</v>
      </c>
      <c r="K58" s="177" t="d">
        <v>2021-10-05T11:36:59.99999990221113300</v>
      </c>
      <c r="L58" s="179">
        <v>4310.92</v>
      </c>
      <c r="M58" s="181">
        <f t="shared" si="21"/>
        <v>1.47</v>
      </c>
      <c r="N58" s="182">
        <f t="shared" si="22"/>
        <v>0.05</v>
      </c>
      <c r="O58" s="183">
        <f t="shared" si="23"/>
        <v>0</v>
      </c>
      <c r="P58" s="184">
        <f t="shared" si="24"/>
        <v>0.05</v>
      </c>
      <c r="Q58" s="184">
        <f t="shared" si="25"/>
        <v>0</v>
      </c>
      <c r="R5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32790</v>
      </c>
      <c r="T5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32790</v>
      </c>
      <c r="U58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58" s="187">
        <f t="shared" si="26"/>
        <v>0</v>
      </c>
      <c r="W58" s="187">
        <f t="shared" si="27"/>
        <v>0</v>
      </c>
      <c r="X58" s="187">
        <f t="shared" si="28"/>
        <v>0</v>
      </c>
      <c r="Y58" s="187">
        <f t="shared" si="29"/>
        <v>0</v>
      </c>
      <c r="Z58" s="187">
        <f t="shared" si="30"/>
        <v>0.05</v>
      </c>
      <c r="AA58" s="183">
        <f t="shared" si="31"/>
        <v>0</v>
      </c>
      <c r="AB58" s="187">
        <f t="shared" si="32"/>
        <v>0</v>
      </c>
      <c r="AC58" s="183">
        <f t="shared" si="33"/>
        <v>0</v>
      </c>
      <c r="AD58" s="188">
        <f t="shared" si="34"/>
        <v>0.75486111111240461</v>
      </c>
      <c r="AE58" s="188">
        <f t="shared" si="35"/>
        <v>0.75486111111240461</v>
      </c>
      <c r="AF58" s="188">
        <f t="shared" si="36"/>
        <v>0</v>
      </c>
      <c r="AG58" s="188">
        <f t="shared" si="37"/>
        <v>0</v>
      </c>
    </row>
    <row r="59" spans="2:33" ht="15" customHeight="1" x14ac:dyDescent="0.15">
      <c r="B59" s="174" t="s">
        <v>5</v>
      </c>
      <c r="C59" s="175" t="s">
        <v>13</v>
      </c>
      <c r="D59" s="176" t="str">
        <f t="shared" si="19"/>
        <v>C</v>
      </c>
      <c r="E59" s="177" t="d">
        <v>2021-09-30T17:15:00.000</v>
      </c>
      <c r="F59" s="178" t="s">
        <v>82</v>
      </c>
      <c r="G59" s="179">
        <v>4362.42</v>
      </c>
      <c r="H59" s="179">
        <v>4384.84</v>
      </c>
      <c r="I59" s="180">
        <f t="shared" si="20"/>
        <v>22.420000000000073</v>
      </c>
      <c r="J59" s="179">
        <v>4216.68</v>
      </c>
      <c r="K59" s="177" t="d">
        <v>2021-09-30T21:05:59.99999991618096825</v>
      </c>
      <c r="L59" s="179">
        <v>4340.6400000000003</v>
      </c>
      <c r="M59" s="181">
        <f t="shared" si="21"/>
        <v>21.78</v>
      </c>
      <c r="N59" s="182">
        <f t="shared" si="22"/>
        <v>0.97</v>
      </c>
      <c r="O59" s="183">
        <f t="shared" si="23"/>
        <v>0</v>
      </c>
      <c r="P59" s="184">
        <f t="shared" si="24"/>
        <v>0.97</v>
      </c>
      <c r="Q59" s="184">
        <f t="shared" si="25"/>
        <v>0</v>
      </c>
      <c r="R5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5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32777.5</v>
      </c>
      <c r="T5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32777.5</v>
      </c>
      <c r="U59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59" s="187">
        <f t="shared" si="26"/>
        <v>0</v>
      </c>
      <c r="W59" s="187">
        <f t="shared" si="27"/>
        <v>0</v>
      </c>
      <c r="X59" s="187">
        <f t="shared" si="28"/>
        <v>0</v>
      </c>
      <c r="Y59" s="187">
        <f t="shared" si="29"/>
        <v>0</v>
      </c>
      <c r="Z59" s="187">
        <f t="shared" si="30"/>
        <v>0.97</v>
      </c>
      <c r="AA59" s="183">
        <f t="shared" si="31"/>
        <v>0</v>
      </c>
      <c r="AB59" s="187">
        <f t="shared" si="32"/>
        <v>0</v>
      </c>
      <c r="AC59" s="183">
        <f t="shared" si="33"/>
        <v>0</v>
      </c>
      <c r="AD59" s="188">
        <f t="shared" si="34"/>
        <v>0.16041666666569654</v>
      </c>
      <c r="AE59" s="188">
        <f t="shared" si="35"/>
        <v>0.16041666666569654</v>
      </c>
      <c r="AF59" s="188">
        <f t="shared" si="36"/>
        <v>0</v>
      </c>
      <c r="AG59" s="188">
        <f t="shared" si="37"/>
        <v>0</v>
      </c>
    </row>
    <row r="60" spans="2:33" ht="15" customHeight="1" x14ac:dyDescent="0.15">
      <c r="B60" s="174" t="s">
        <v>5</v>
      </c>
      <c r="C60" s="175" t="s">
        <v>13</v>
      </c>
      <c r="D60" s="176" t="str">
        <f t="shared" si="19"/>
        <v>C</v>
      </c>
      <c r="E60" s="177" t="d">
        <v>2021-09-28T03:45:00.000</v>
      </c>
      <c r="F60" s="178" t="s">
        <v>82</v>
      </c>
      <c r="G60" s="179">
        <v>4431.74</v>
      </c>
      <c r="H60" s="179">
        <v>4453.3999999999996</v>
      </c>
      <c r="I60" s="180">
        <f t="shared" si="20"/>
        <v>21.659999999999854</v>
      </c>
      <c r="J60" s="179">
        <v>4290.95</v>
      </c>
      <c r="K60" s="177" t="d">
        <v>2021-09-28T21:42:00.0000000419095125</v>
      </c>
      <c r="L60" s="179">
        <v>4367.3900000000003</v>
      </c>
      <c r="M60" s="181">
        <f t="shared" si="21"/>
        <v>64.349999999999994</v>
      </c>
      <c r="N60" s="182">
        <f t="shared" si="22"/>
        <v>2.97</v>
      </c>
      <c r="O60" s="183">
        <f t="shared" si="23"/>
        <v>0</v>
      </c>
      <c r="P60" s="184">
        <f t="shared" si="24"/>
        <v>2.97</v>
      </c>
      <c r="Q60" s="184">
        <f t="shared" si="25"/>
        <v>0</v>
      </c>
      <c r="R6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32535</v>
      </c>
      <c r="T6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32535</v>
      </c>
      <c r="U60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60" s="187">
        <f t="shared" si="26"/>
        <v>0</v>
      </c>
      <c r="W60" s="187">
        <f t="shared" si="27"/>
        <v>0</v>
      </c>
      <c r="X60" s="187">
        <f t="shared" si="28"/>
        <v>0</v>
      </c>
      <c r="Y60" s="187">
        <f t="shared" si="29"/>
        <v>0</v>
      </c>
      <c r="Z60" s="187">
        <f t="shared" si="30"/>
        <v>2.97</v>
      </c>
      <c r="AA60" s="183">
        <f t="shared" si="31"/>
        <v>0</v>
      </c>
      <c r="AB60" s="187">
        <f t="shared" si="32"/>
        <v>0</v>
      </c>
      <c r="AC60" s="183">
        <f t="shared" si="33"/>
        <v>0</v>
      </c>
      <c r="AD60" s="188">
        <f t="shared" si="34"/>
        <v>0.74791666666715173</v>
      </c>
      <c r="AE60" s="188">
        <f t="shared" si="35"/>
        <v>0.74791666666715173</v>
      </c>
      <c r="AF60" s="188">
        <f t="shared" si="36"/>
        <v>0</v>
      </c>
      <c r="AG60" s="188">
        <f t="shared" si="37"/>
        <v>0</v>
      </c>
    </row>
    <row r="61" spans="2:33" ht="15" customHeight="1" x14ac:dyDescent="0.15">
      <c r="B61" s="174" t="s">
        <v>5</v>
      </c>
      <c r="C61" s="175" t="s">
        <v>15</v>
      </c>
      <c r="D61" s="176" t="str">
        <f t="shared" si="19"/>
        <v>C</v>
      </c>
      <c r="E61" s="177" t="d">
        <v>2021-09-24T21:59:59.99999979045242400</v>
      </c>
      <c r="F61" s="178" t="s">
        <v>82</v>
      </c>
      <c r="G61" s="179">
        <v>4455.01</v>
      </c>
      <c r="H61" s="179">
        <v>4429.92</v>
      </c>
      <c r="I61" s="180">
        <f t="shared" si="20"/>
        <v>25.090000000000146</v>
      </c>
      <c r="J61" s="179">
        <v>4618.12</v>
      </c>
      <c r="K61" s="177" t="d">
        <v>2021-09-27T13:02:59.99999974854290475</v>
      </c>
      <c r="L61" s="179">
        <v>4455.6499999999996</v>
      </c>
      <c r="M61" s="181">
        <f t="shared" si="21"/>
        <v>0.64</v>
      </c>
      <c r="N61" s="182">
        <f t="shared" si="22"/>
        <v>0.03</v>
      </c>
      <c r="O61" s="183">
        <f t="shared" si="23"/>
        <v>0</v>
      </c>
      <c r="P61" s="184">
        <f t="shared" si="24"/>
        <v>0.03</v>
      </c>
      <c r="Q61" s="184">
        <f t="shared" si="25"/>
        <v>0</v>
      </c>
      <c r="R6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31792.5</v>
      </c>
      <c r="T6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32320</v>
      </c>
      <c r="U61" s="186">
        <f ca="1">IF(Tabla336106734812[[#This Row],[Equity]]&lt;Tabla336106734812[[#This Row],[Equity Peak]],(Tabla336106734812[[#This Row],[Equity Peak]]-Tabla336106734812[[#This Row],[Equity]])/Tabla336106734812[[#This Row],[Equity Peak]],"")</f>
        <v>1.6321163366336634E-2</v>
      </c>
      <c r="V61" s="187">
        <f t="shared" si="26"/>
        <v>0</v>
      </c>
      <c r="W61" s="187">
        <f t="shared" si="27"/>
        <v>0</v>
      </c>
      <c r="X61" s="187">
        <f t="shared" si="28"/>
        <v>0</v>
      </c>
      <c r="Y61" s="187">
        <f t="shared" si="29"/>
        <v>0</v>
      </c>
      <c r="Z61" s="187">
        <f t="shared" si="30"/>
        <v>0.03</v>
      </c>
      <c r="AA61" s="183">
        <f t="shared" si="31"/>
        <v>0</v>
      </c>
      <c r="AB61" s="187">
        <f t="shared" si="32"/>
        <v>0</v>
      </c>
      <c r="AC61" s="183">
        <f t="shared" si="33"/>
        <v>0</v>
      </c>
      <c r="AD61" s="188">
        <f t="shared" si="34"/>
        <v>2.6270833333328483</v>
      </c>
      <c r="AE61" s="188">
        <f t="shared" si="35"/>
        <v>2.6270833333328483</v>
      </c>
      <c r="AF61" s="188">
        <f t="shared" si="36"/>
        <v>0</v>
      </c>
      <c r="AG61" s="188">
        <f t="shared" si="37"/>
        <v>0</v>
      </c>
    </row>
    <row r="62" spans="2:33" ht="15" customHeight="1" x14ac:dyDescent="0.15">
      <c r="B62" s="174" t="s">
        <v>5</v>
      </c>
      <c r="C62" s="175" t="s">
        <v>13</v>
      </c>
      <c r="D62" s="176" t="str">
        <f t="shared" si="19"/>
        <v>C</v>
      </c>
      <c r="E62" s="177" t="d">
        <v>2021-09-24T15:14:59.99999979045242400</v>
      </c>
      <c r="F62" s="178" t="s">
        <v>82</v>
      </c>
      <c r="G62" s="179">
        <v>4421.54</v>
      </c>
      <c r="H62" s="179">
        <v>4446.09</v>
      </c>
      <c r="I62" s="180">
        <f t="shared" si="20"/>
        <v>24.550000000000182</v>
      </c>
      <c r="J62" s="179">
        <v>4261.9799999999996</v>
      </c>
      <c r="K62" s="177" t="d">
        <v>2021-09-24T16:38:59.99999987427145575</v>
      </c>
      <c r="L62" s="179">
        <v>4445.88</v>
      </c>
      <c r="M62" s="181">
        <f t="shared" si="21"/>
        <v>-24.34</v>
      </c>
      <c r="N62" s="182">
        <f t="shared" si="22"/>
        <v>-0.99</v>
      </c>
      <c r="O62" s="183">
        <f t="shared" si="23"/>
        <v>0</v>
      </c>
      <c r="P62" s="184">
        <f t="shared" si="24"/>
        <v>0</v>
      </c>
      <c r="Q62" s="184">
        <f t="shared" si="25"/>
        <v>-0.99</v>
      </c>
      <c r="R6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31785</v>
      </c>
      <c r="T6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32320</v>
      </c>
      <c r="U62" s="186">
        <f ca="1">IF(Tabla336106734812[[#This Row],[Equity]]&lt;Tabla336106734812[[#This Row],[Equity Peak]],(Tabla336106734812[[#This Row],[Equity Peak]]-Tabla336106734812[[#This Row],[Equity]])/Tabla336106734812[[#This Row],[Equity Peak]],"")</f>
        <v>1.6553217821782179E-2</v>
      </c>
      <c r="V62" s="187">
        <f t="shared" si="26"/>
        <v>0</v>
      </c>
      <c r="W62" s="187">
        <f t="shared" si="27"/>
        <v>0</v>
      </c>
      <c r="X62" s="187">
        <f t="shared" si="28"/>
        <v>0</v>
      </c>
      <c r="Y62" s="187">
        <f t="shared" si="29"/>
        <v>0</v>
      </c>
      <c r="Z62" s="187">
        <f t="shared" si="30"/>
        <v>-0.99</v>
      </c>
      <c r="AA62" s="183">
        <f t="shared" si="31"/>
        <v>0</v>
      </c>
      <c r="AB62" s="187">
        <f t="shared" si="32"/>
        <v>0</v>
      </c>
      <c r="AC62" s="183">
        <f t="shared" si="33"/>
        <v>0</v>
      </c>
      <c r="AD62" s="188">
        <f t="shared" si="34"/>
        <v>5.8333333334303461E-2</v>
      </c>
      <c r="AE62" s="188">
        <f t="shared" si="35"/>
        <v>0</v>
      </c>
      <c r="AF62" s="188">
        <f t="shared" si="36"/>
        <v>5.8333333334303461E-2</v>
      </c>
      <c r="AG62" s="188">
        <f t="shared" si="37"/>
        <v>0</v>
      </c>
    </row>
    <row r="63" spans="2:33" ht="15" customHeight="1" x14ac:dyDescent="0.15">
      <c r="B63" s="174" t="s">
        <v>5</v>
      </c>
      <c r="C63" s="175" t="s">
        <v>15</v>
      </c>
      <c r="D63" s="176" t="str">
        <f t="shared" si="19"/>
        <v>C</v>
      </c>
      <c r="E63" s="177" t="d">
        <v>2021-09-23T17:00:00.00000020954757600</v>
      </c>
      <c r="F63" s="178" t="s">
        <v>82</v>
      </c>
      <c r="G63" s="179">
        <v>4437.8500000000004</v>
      </c>
      <c r="H63" s="179">
        <v>4412.97</v>
      </c>
      <c r="I63" s="180">
        <f t="shared" si="20"/>
        <v>24.880000000000109</v>
      </c>
      <c r="J63" s="179">
        <v>4599.55</v>
      </c>
      <c r="K63" s="177" t="d">
        <v>2021-09-24T09:53:59.99999987427145575</v>
      </c>
      <c r="L63" s="179">
        <v>4438.54</v>
      </c>
      <c r="M63" s="181">
        <f t="shared" si="21"/>
        <v>0.69</v>
      </c>
      <c r="N63" s="182">
        <f t="shared" si="22"/>
        <v>0.03</v>
      </c>
      <c r="O63" s="183">
        <f t="shared" si="23"/>
        <v>0</v>
      </c>
      <c r="P63" s="184">
        <f t="shared" si="24"/>
        <v>0.03</v>
      </c>
      <c r="Q63" s="184">
        <f t="shared" si="25"/>
        <v>0</v>
      </c>
      <c r="R6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32032.5</v>
      </c>
      <c r="T6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32320</v>
      </c>
      <c r="U63" s="186">
        <f ca="1">IF(Tabla336106734812[[#This Row],[Equity]]&lt;Tabla336106734812[[#This Row],[Equity Peak]],(Tabla336106734812[[#This Row],[Equity Peak]]-Tabla336106734812[[#This Row],[Equity]])/Tabla336106734812[[#This Row],[Equity Peak]],"")</f>
        <v>8.8954207920792071E-3</v>
      </c>
      <c r="V63" s="187">
        <f t="shared" si="26"/>
        <v>0</v>
      </c>
      <c r="W63" s="187">
        <f t="shared" si="27"/>
        <v>0</v>
      </c>
      <c r="X63" s="187">
        <f t="shared" si="28"/>
        <v>0</v>
      </c>
      <c r="Y63" s="187">
        <f t="shared" si="29"/>
        <v>0</v>
      </c>
      <c r="Z63" s="187">
        <f t="shared" si="30"/>
        <v>0.03</v>
      </c>
      <c r="AA63" s="183">
        <f t="shared" si="31"/>
        <v>0</v>
      </c>
      <c r="AB63" s="187">
        <f t="shared" si="32"/>
        <v>0</v>
      </c>
      <c r="AC63" s="183">
        <f t="shared" si="33"/>
        <v>0</v>
      </c>
      <c r="AD63" s="188">
        <f t="shared" si="34"/>
        <v>0.70416666666278616</v>
      </c>
      <c r="AE63" s="188">
        <f t="shared" si="35"/>
        <v>0.70416666666278616</v>
      </c>
      <c r="AF63" s="188">
        <f t="shared" si="36"/>
        <v>0</v>
      </c>
      <c r="AG63" s="188">
        <f t="shared" si="37"/>
        <v>0</v>
      </c>
    </row>
    <row r="64" spans="2:33" ht="15" customHeight="1" x14ac:dyDescent="0.15">
      <c r="B64" s="174" t="s">
        <v>5</v>
      </c>
      <c r="C64" s="175" t="s">
        <v>15</v>
      </c>
      <c r="D64" s="176" t="str">
        <f t="shared" si="19"/>
        <v>C</v>
      </c>
      <c r="E64" s="177" t="d">
        <v>2021-09-23T10:44:59.99999979045242400</v>
      </c>
      <c r="F64" s="178" t="s">
        <v>82</v>
      </c>
      <c r="G64" s="179">
        <v>4421.34</v>
      </c>
      <c r="H64" s="179">
        <v>4397.1000000000004</v>
      </c>
      <c r="I64" s="180">
        <f t="shared" si="20"/>
        <v>24.239999999999782</v>
      </c>
      <c r="J64" s="179">
        <v>4578.93</v>
      </c>
      <c r="K64" s="177" t="d">
        <v>2021-09-23T16:09:00.00000029336660775</v>
      </c>
      <c r="L64" s="179">
        <v>4405.08</v>
      </c>
      <c r="M64" s="181">
        <f t="shared" si="21"/>
        <v>-16.260000000000002</v>
      </c>
      <c r="N64" s="182">
        <f t="shared" si="22"/>
        <v>-0.67</v>
      </c>
      <c r="O64" s="183">
        <f t="shared" si="23"/>
        <v>0</v>
      </c>
      <c r="P64" s="184">
        <f t="shared" si="24"/>
        <v>0</v>
      </c>
      <c r="Q64" s="184">
        <f t="shared" si="25"/>
        <v>-0.67</v>
      </c>
      <c r="R6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32025</v>
      </c>
      <c r="T6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32320</v>
      </c>
      <c r="U64" s="186">
        <f ca="1">IF(Tabla336106734812[[#This Row],[Equity]]&lt;Tabla336106734812[[#This Row],[Equity Peak]],(Tabla336106734812[[#This Row],[Equity Peak]]-Tabla336106734812[[#This Row],[Equity]])/Tabla336106734812[[#This Row],[Equity Peak]],"")</f>
        <v>9.1274752475247519E-3</v>
      </c>
      <c r="V64" s="187">
        <f t="shared" si="26"/>
        <v>0</v>
      </c>
      <c r="W64" s="187">
        <f t="shared" si="27"/>
        <v>0</v>
      </c>
      <c r="X64" s="187">
        <f t="shared" si="28"/>
        <v>0</v>
      </c>
      <c r="Y64" s="187">
        <f t="shared" si="29"/>
        <v>0</v>
      </c>
      <c r="Z64" s="187">
        <f t="shared" si="30"/>
        <v>-0.67</v>
      </c>
      <c r="AA64" s="183">
        <f t="shared" si="31"/>
        <v>0</v>
      </c>
      <c r="AB64" s="187">
        <f t="shared" si="32"/>
        <v>0</v>
      </c>
      <c r="AC64" s="183">
        <f t="shared" si="33"/>
        <v>0</v>
      </c>
      <c r="AD64" s="188">
        <f t="shared" si="34"/>
        <v>0.22500000000582077</v>
      </c>
      <c r="AE64" s="188">
        <f t="shared" si="35"/>
        <v>0</v>
      </c>
      <c r="AF64" s="188">
        <f t="shared" si="36"/>
        <v>0.22500000000582077</v>
      </c>
      <c r="AG64" s="188">
        <f t="shared" si="37"/>
        <v>0</v>
      </c>
    </row>
    <row r="65" spans="2:33" ht="15" customHeight="1" x14ac:dyDescent="0.15">
      <c r="B65" s="174" t="s">
        <v>5</v>
      </c>
      <c r="C65" s="175" t="s">
        <v>13</v>
      </c>
      <c r="D65" s="176" t="str">
        <f t="shared" si="19"/>
        <v>C</v>
      </c>
      <c r="E65" s="177" t="d">
        <v>2021-09-21T23:15:00.000</v>
      </c>
      <c r="F65" s="178" t="s">
        <v>82</v>
      </c>
      <c r="G65" s="179">
        <v>4343.88</v>
      </c>
      <c r="H65" s="179">
        <v>4366.66</v>
      </c>
      <c r="I65" s="180">
        <f t="shared" si="20"/>
        <v>22.779999999999745</v>
      </c>
      <c r="J65" s="179">
        <v>4195.78</v>
      </c>
      <c r="K65" s="177" t="d">
        <v>2021-09-22T04:09:00.00000029336660775</v>
      </c>
      <c r="L65" s="179">
        <v>4355.4399999999996</v>
      </c>
      <c r="M65" s="181">
        <f t="shared" si="21"/>
        <v>-11.56</v>
      </c>
      <c r="N65" s="182">
        <f t="shared" si="22"/>
        <v>-0.51</v>
      </c>
      <c r="O65" s="183">
        <f t="shared" si="23"/>
        <v>0</v>
      </c>
      <c r="P65" s="184">
        <f t="shared" si="24"/>
        <v>0</v>
      </c>
      <c r="Q65" s="184">
        <f t="shared" si="25"/>
        <v>-0.51</v>
      </c>
      <c r="R6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32192.5</v>
      </c>
      <c r="T6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32320</v>
      </c>
      <c r="U65" s="186">
        <f ca="1">IF(Tabla336106734812[[#This Row],[Equity]]&lt;Tabla336106734812[[#This Row],[Equity Peak]],(Tabla336106734812[[#This Row],[Equity Peak]]-Tabla336106734812[[#This Row],[Equity]])/Tabla336106734812[[#This Row],[Equity Peak]],"")</f>
        <v>3.9449257425742575E-3</v>
      </c>
      <c r="V65" s="187">
        <f t="shared" si="26"/>
        <v>0</v>
      </c>
      <c r="W65" s="187">
        <f t="shared" si="27"/>
        <v>0</v>
      </c>
      <c r="X65" s="187">
        <f t="shared" si="28"/>
        <v>0</v>
      </c>
      <c r="Y65" s="187">
        <f t="shared" si="29"/>
        <v>0</v>
      </c>
      <c r="Z65" s="187">
        <f t="shared" si="30"/>
        <v>-0.51</v>
      </c>
      <c r="AA65" s="183">
        <f t="shared" si="31"/>
        <v>0</v>
      </c>
      <c r="AB65" s="187">
        <f t="shared" si="32"/>
        <v>0</v>
      </c>
      <c r="AC65" s="183">
        <f t="shared" si="33"/>
        <v>0</v>
      </c>
      <c r="AD65" s="188">
        <f t="shared" si="34"/>
        <v>0.20416666667006211</v>
      </c>
      <c r="AE65" s="188">
        <f t="shared" si="35"/>
        <v>0</v>
      </c>
      <c r="AF65" s="188">
        <f t="shared" si="36"/>
        <v>0.20416666667006211</v>
      </c>
      <c r="AG65" s="188">
        <f t="shared" si="37"/>
        <v>0</v>
      </c>
    </row>
    <row r="66" spans="2:33" ht="15" customHeight="1" x14ac:dyDescent="0.15">
      <c r="B66" s="174" t="s">
        <v>5</v>
      </c>
      <c r="C66" s="175" t="s">
        <v>13</v>
      </c>
      <c r="D66" s="176" t="str">
        <f t="shared" si="19"/>
        <v>C</v>
      </c>
      <c r="E66" s="177" t="d">
        <v>2021-09-17T13:30:00.000</v>
      </c>
      <c r="F66" s="178" t="s">
        <v>82</v>
      </c>
      <c r="G66" s="179">
        <v>4460.41</v>
      </c>
      <c r="H66" s="179">
        <v>4477</v>
      </c>
      <c r="I66" s="180">
        <f t="shared" si="20"/>
        <v>16.590000000000146</v>
      </c>
      <c r="J66" s="179">
        <v>4352.57</v>
      </c>
      <c r="K66" s="177" t="d">
        <v>2021-09-20T15:24:00.00000029336660775</v>
      </c>
      <c r="L66" s="179">
        <v>4352.57</v>
      </c>
      <c r="M66" s="181">
        <f t="shared" si="21"/>
        <v>107.84</v>
      </c>
      <c r="N66" s="182">
        <f t="shared" si="22"/>
        <v>6.5</v>
      </c>
      <c r="O66" s="183">
        <f t="shared" si="23"/>
        <v>0</v>
      </c>
      <c r="P66" s="184">
        <f t="shared" si="24"/>
        <v>6.5</v>
      </c>
      <c r="Q66" s="184">
        <f t="shared" si="25"/>
        <v>0</v>
      </c>
      <c r="R6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32320</v>
      </c>
      <c r="T6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32320</v>
      </c>
      <c r="U66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66" s="187">
        <f t="shared" si="26"/>
        <v>0</v>
      </c>
      <c r="W66" s="187">
        <f t="shared" si="27"/>
        <v>0</v>
      </c>
      <c r="X66" s="187">
        <f t="shared" si="28"/>
        <v>0</v>
      </c>
      <c r="Y66" s="187">
        <f t="shared" si="29"/>
        <v>0</v>
      </c>
      <c r="Z66" s="187">
        <f t="shared" si="30"/>
        <v>6.5</v>
      </c>
      <c r="AA66" s="183">
        <f t="shared" si="31"/>
        <v>0</v>
      </c>
      <c r="AB66" s="187">
        <f t="shared" si="32"/>
        <v>0</v>
      </c>
      <c r="AC66" s="183">
        <f t="shared" si="33"/>
        <v>0</v>
      </c>
      <c r="AD66" s="188">
        <f t="shared" si="34"/>
        <v>3.0791666666700621</v>
      </c>
      <c r="AE66" s="188">
        <f t="shared" si="35"/>
        <v>3.0791666666700621</v>
      </c>
      <c r="AF66" s="188">
        <f t="shared" si="36"/>
        <v>0</v>
      </c>
      <c r="AG66" s="188">
        <f t="shared" si="37"/>
        <v>0</v>
      </c>
    </row>
    <row r="67" spans="2:33" ht="15" customHeight="1" x14ac:dyDescent="0.15">
      <c r="B67" s="174" t="s">
        <v>5</v>
      </c>
      <c r="C67" s="175" t="s">
        <v>13</v>
      </c>
      <c r="D67" s="176" t="str">
        <f t="shared" si="19"/>
        <v>C</v>
      </c>
      <c r="E67" s="177" t="d">
        <v>2021-09-16T17:00:00.00000020954757600</v>
      </c>
      <c r="F67" s="178" t="s">
        <v>82</v>
      </c>
      <c r="G67" s="179">
        <v>4462.7700000000004</v>
      </c>
      <c r="H67" s="179">
        <v>4479.22</v>
      </c>
      <c r="I67" s="180">
        <f t="shared" si="20"/>
        <v>16.449999999999818</v>
      </c>
      <c r="J67" s="179">
        <v>4355.8599999999997</v>
      </c>
      <c r="K67" s="177" t="d">
        <v>2021-09-16T19:38:59.99999987427145575</v>
      </c>
      <c r="L67" s="179">
        <v>4464.72</v>
      </c>
      <c r="M67" s="181">
        <f t="shared" si="21"/>
        <v>-1.95</v>
      </c>
      <c r="N67" s="182">
        <f t="shared" si="22"/>
        <v>-0.12</v>
      </c>
      <c r="O67" s="183">
        <f t="shared" si="23"/>
        <v>0</v>
      </c>
      <c r="P67" s="184">
        <f t="shared" si="24"/>
        <v>0</v>
      </c>
      <c r="Q67" s="184">
        <f t="shared" si="25"/>
        <v>-0.12</v>
      </c>
      <c r="R6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30695</v>
      </c>
      <c r="T6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32305</v>
      </c>
      <c r="U67" s="186">
        <f ca="1">IF(Tabla336106734812[[#This Row],[Equity]]&lt;Tabla336106734812[[#This Row],[Equity Peak]],(Tabla336106734812[[#This Row],[Equity Peak]]-Tabla336106734812[[#This Row],[Equity]])/Tabla336106734812[[#This Row],[Equity Peak]],"")</f>
        <v>4.9837486457204767E-2</v>
      </c>
      <c r="V67" s="187">
        <f t="shared" si="26"/>
        <v>0</v>
      </c>
      <c r="W67" s="187">
        <f t="shared" si="27"/>
        <v>0</v>
      </c>
      <c r="X67" s="187">
        <f t="shared" si="28"/>
        <v>0</v>
      </c>
      <c r="Y67" s="187">
        <f t="shared" si="29"/>
        <v>0</v>
      </c>
      <c r="Z67" s="187">
        <f t="shared" si="30"/>
        <v>-0.12</v>
      </c>
      <c r="AA67" s="183">
        <f t="shared" si="31"/>
        <v>0</v>
      </c>
      <c r="AB67" s="187">
        <f t="shared" si="32"/>
        <v>0</v>
      </c>
      <c r="AC67" s="183">
        <f t="shared" si="33"/>
        <v>0</v>
      </c>
      <c r="AD67" s="188">
        <f t="shared" si="34"/>
        <v>0.11041666666278616</v>
      </c>
      <c r="AE67" s="188">
        <f t="shared" si="35"/>
        <v>0</v>
      </c>
      <c r="AF67" s="188">
        <f t="shared" si="36"/>
        <v>0.11041666666278616</v>
      </c>
      <c r="AG67" s="188">
        <f t="shared" si="37"/>
        <v>0</v>
      </c>
    </row>
    <row r="68" spans="2:33" ht="15" customHeight="1" x14ac:dyDescent="0.15">
      <c r="B68" s="174" t="s">
        <v>5</v>
      </c>
      <c r="C68" s="175" t="s">
        <v>13</v>
      </c>
      <c r="D68" s="176" t="str">
        <f t="shared" si="19"/>
        <v>C</v>
      </c>
      <c r="E68" s="177" t="d">
        <v>2021-09-16T15:14:59.99999979045242400</v>
      </c>
      <c r="F68" s="178" t="s">
        <v>82</v>
      </c>
      <c r="G68" s="179">
        <v>4470.66</v>
      </c>
      <c r="H68" s="179">
        <v>4486.7700000000004</v>
      </c>
      <c r="I68" s="180">
        <f t="shared" si="20"/>
        <v>16.110000000000582</v>
      </c>
      <c r="J68" s="179">
        <v>4365.96</v>
      </c>
      <c r="K68" s="177" t="d">
        <v>2021-09-16T16:32:59.9999999580904875</v>
      </c>
      <c r="L68" s="179">
        <v>4485.3999999999996</v>
      </c>
      <c r="M68" s="181">
        <f t="shared" si="21"/>
        <v>-14.74</v>
      </c>
      <c r="N68" s="182">
        <f t="shared" si="22"/>
        <v>-0.91</v>
      </c>
      <c r="O68" s="183">
        <f t="shared" si="23"/>
        <v>0</v>
      </c>
      <c r="P68" s="184">
        <f t="shared" si="24"/>
        <v>0</v>
      </c>
      <c r="Q68" s="184">
        <f t="shared" si="25"/>
        <v>-0.91</v>
      </c>
      <c r="R6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30725</v>
      </c>
      <c r="T6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32305</v>
      </c>
      <c r="U68" s="186">
        <f ca="1">IF(Tabla336106734812[[#This Row],[Equity]]&lt;Tabla336106734812[[#This Row],[Equity Peak]],(Tabla336106734812[[#This Row],[Equity Peak]]-Tabla336106734812[[#This Row],[Equity]])/Tabla336106734812[[#This Row],[Equity Peak]],"")</f>
        <v>4.8908837641232009E-2</v>
      </c>
      <c r="V68" s="187">
        <f t="shared" si="26"/>
        <v>0</v>
      </c>
      <c r="W68" s="187">
        <f t="shared" si="27"/>
        <v>0</v>
      </c>
      <c r="X68" s="187">
        <f t="shared" si="28"/>
        <v>0</v>
      </c>
      <c r="Y68" s="187">
        <f t="shared" si="29"/>
        <v>0</v>
      </c>
      <c r="Z68" s="187">
        <f t="shared" si="30"/>
        <v>-0.91</v>
      </c>
      <c r="AA68" s="183">
        <f t="shared" si="31"/>
        <v>0</v>
      </c>
      <c r="AB68" s="187">
        <f t="shared" si="32"/>
        <v>0</v>
      </c>
      <c r="AC68" s="183">
        <f t="shared" si="33"/>
        <v>0</v>
      </c>
      <c r="AD68" s="188">
        <f t="shared" si="34"/>
        <v>5.4166666668606922E-2</v>
      </c>
      <c r="AE68" s="188">
        <f t="shared" si="35"/>
        <v>0</v>
      </c>
      <c r="AF68" s="188">
        <f t="shared" si="36"/>
        <v>5.4166666668606922E-2</v>
      </c>
      <c r="AG68" s="188">
        <f t="shared" si="37"/>
        <v>0</v>
      </c>
    </row>
    <row r="69" spans="2:33" ht="15" customHeight="1" x14ac:dyDescent="0.15">
      <c r="B69" s="174" t="s">
        <v>5</v>
      </c>
      <c r="C69" s="175" t="s">
        <v>15</v>
      </c>
      <c r="D69" s="176" t="str">
        <f t="shared" si="19"/>
        <v>C</v>
      </c>
      <c r="E69" s="177" t="d">
        <v>2021-09-15T22:44:59.99999979045242400</v>
      </c>
      <c r="F69" s="178" t="s">
        <v>82</v>
      </c>
      <c r="G69" s="179">
        <v>4487.08</v>
      </c>
      <c r="H69" s="179">
        <v>4469.3900000000003</v>
      </c>
      <c r="I69" s="180">
        <f t="shared" si="20"/>
        <v>17.6899999999996</v>
      </c>
      <c r="J69" s="179">
        <v>4602.08</v>
      </c>
      <c r="K69" s="177" t="d">
        <v>2021-09-16T15:08:59.99999987427145575</v>
      </c>
      <c r="L69" s="179">
        <v>4469.3900000000003</v>
      </c>
      <c r="M69" s="181">
        <f t="shared" si="21"/>
        <v>-17.690000000000001</v>
      </c>
      <c r="N69" s="182">
        <f t="shared" si="22"/>
        <v>-1</v>
      </c>
      <c r="O69" s="183">
        <f t="shared" si="23"/>
        <v>0</v>
      </c>
      <c r="P69" s="184">
        <f t="shared" si="24"/>
        <v>0</v>
      </c>
      <c r="Q69" s="184">
        <f t="shared" si="25"/>
        <v>-1</v>
      </c>
      <c r="R6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6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30952.5</v>
      </c>
      <c r="T6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32305</v>
      </c>
      <c r="U69" s="186">
        <f ca="1">IF(Tabla336106734812[[#This Row],[Equity]]&lt;Tabla336106734812[[#This Row],[Equity Peak]],(Tabla336106734812[[#This Row],[Equity Peak]]-Tabla336106734812[[#This Row],[Equity]])/Tabla336106734812[[#This Row],[Equity Peak]],"")</f>
        <v>4.1866584120105244E-2</v>
      </c>
      <c r="V69" s="187">
        <f t="shared" si="26"/>
        <v>0</v>
      </c>
      <c r="W69" s="187">
        <f t="shared" si="27"/>
        <v>0</v>
      </c>
      <c r="X69" s="187">
        <f t="shared" si="28"/>
        <v>0</v>
      </c>
      <c r="Y69" s="187">
        <f t="shared" si="29"/>
        <v>0</v>
      </c>
      <c r="Z69" s="187">
        <f t="shared" si="30"/>
        <v>-1</v>
      </c>
      <c r="AA69" s="183">
        <f t="shared" si="31"/>
        <v>0</v>
      </c>
      <c r="AB69" s="187">
        <f t="shared" si="32"/>
        <v>0</v>
      </c>
      <c r="AC69" s="183">
        <f t="shared" si="33"/>
        <v>0</v>
      </c>
      <c r="AD69" s="188">
        <f t="shared" si="34"/>
        <v>0.68333333333430346</v>
      </c>
      <c r="AE69" s="188">
        <f t="shared" si="35"/>
        <v>0</v>
      </c>
      <c r="AF69" s="188">
        <f t="shared" si="36"/>
        <v>0.68333333333430346</v>
      </c>
      <c r="AG69" s="188">
        <f t="shared" si="37"/>
        <v>0</v>
      </c>
    </row>
    <row r="70" spans="2:33" ht="15" customHeight="1" x14ac:dyDescent="0.15">
      <c r="B70" s="174" t="s">
        <v>5</v>
      </c>
      <c r="C70" s="175" t="s">
        <v>13</v>
      </c>
      <c r="D70" s="176" t="str">
        <f t="shared" si="19"/>
        <v>C</v>
      </c>
      <c r="E70" s="177" t="d">
        <v>2021-09-14T17:15:00.000</v>
      </c>
      <c r="F70" s="178" t="s">
        <v>82</v>
      </c>
      <c r="G70" s="179">
        <v>4457.8999999999996</v>
      </c>
      <c r="H70" s="179">
        <v>4474.49</v>
      </c>
      <c r="I70" s="180">
        <f t="shared" si="20"/>
        <v>16.590000000000146</v>
      </c>
      <c r="J70" s="179">
        <v>4350.0600000000004</v>
      </c>
      <c r="K70" s="177" t="d">
        <v>2021-09-15T07:54:59.99999986030161375</v>
      </c>
      <c r="L70" s="179">
        <v>4454.8</v>
      </c>
      <c r="M70" s="181">
        <f t="shared" si="21"/>
        <v>3.1</v>
      </c>
      <c r="N70" s="182">
        <f t="shared" si="22"/>
        <v>0.19</v>
      </c>
      <c r="O70" s="183">
        <f t="shared" si="23"/>
        <v>0</v>
      </c>
      <c r="P70" s="184">
        <f t="shared" si="24"/>
        <v>0.19</v>
      </c>
      <c r="Q70" s="184">
        <f t="shared" si="25"/>
        <v>0</v>
      </c>
      <c r="R7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31202.5</v>
      </c>
      <c r="T7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32305</v>
      </c>
      <c r="U70" s="186">
        <f ca="1">IF(Tabla336106734812[[#This Row],[Equity]]&lt;Tabla336106734812[[#This Row],[Equity Peak]],(Tabla336106734812[[#This Row],[Equity Peak]]-Tabla336106734812[[#This Row],[Equity]])/Tabla336106734812[[#This Row],[Equity Peak]],"")</f>
        <v>3.4127843986998918E-2</v>
      </c>
      <c r="V70" s="187">
        <f t="shared" si="26"/>
        <v>0</v>
      </c>
      <c r="W70" s="187">
        <f t="shared" si="27"/>
        <v>0</v>
      </c>
      <c r="X70" s="187">
        <f t="shared" si="28"/>
        <v>0</v>
      </c>
      <c r="Y70" s="187">
        <f t="shared" si="29"/>
        <v>0</v>
      </c>
      <c r="Z70" s="187">
        <f t="shared" si="30"/>
        <v>0.19</v>
      </c>
      <c r="AA70" s="183">
        <f t="shared" si="31"/>
        <v>0</v>
      </c>
      <c r="AB70" s="187">
        <f t="shared" si="32"/>
        <v>0</v>
      </c>
      <c r="AC70" s="183">
        <f t="shared" si="33"/>
        <v>0</v>
      </c>
      <c r="AD70" s="188">
        <f t="shared" si="34"/>
        <v>0.61111111110949423</v>
      </c>
      <c r="AE70" s="188">
        <f t="shared" si="35"/>
        <v>0.61111111110949423</v>
      </c>
      <c r="AF70" s="188">
        <f t="shared" si="36"/>
        <v>0</v>
      </c>
      <c r="AG70" s="188">
        <f t="shared" si="37"/>
        <v>0</v>
      </c>
    </row>
    <row r="71" spans="2:33" ht="15" customHeight="1" x14ac:dyDescent="0.15">
      <c r="B71" s="174" t="s">
        <v>5</v>
      </c>
      <c r="C71" s="175" t="s">
        <v>13</v>
      </c>
      <c r="D71" s="176" t="str">
        <f t="shared" si="19"/>
        <v>C</v>
      </c>
      <c r="E71" s="177" t="d">
        <v>2021-09-13T21:14:59.99999979045242400</v>
      </c>
      <c r="F71" s="178" t="s">
        <v>82</v>
      </c>
      <c r="G71" s="179">
        <v>4449.41</v>
      </c>
      <c r="H71" s="179">
        <v>4465.24</v>
      </c>
      <c r="I71" s="180">
        <f t="shared" si="20"/>
        <v>15.829999999999927</v>
      </c>
      <c r="J71" s="179">
        <v>4346.5</v>
      </c>
      <c r="K71" s="177" t="d">
        <v>2021-09-13T22:24:00.00000008381903175</v>
      </c>
      <c r="L71" s="179">
        <v>4464.7700000000004</v>
      </c>
      <c r="M71" s="181">
        <f t="shared" si="21"/>
        <v>-15.36</v>
      </c>
      <c r="N71" s="182">
        <f t="shared" si="22"/>
        <v>-0.97</v>
      </c>
      <c r="O71" s="183">
        <f t="shared" si="23"/>
        <v>0</v>
      </c>
      <c r="P71" s="184">
        <f t="shared" si="24"/>
        <v>0</v>
      </c>
      <c r="Q71" s="184">
        <f t="shared" si="25"/>
        <v>-0.97</v>
      </c>
      <c r="R7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31155</v>
      </c>
      <c r="T7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32305</v>
      </c>
      <c r="U71" s="186">
        <f ca="1">IF(Tabla336106734812[[#This Row],[Equity]]&lt;Tabla336106734812[[#This Row],[Equity Peak]],(Tabla336106734812[[#This Row],[Equity Peak]]-Tabla336106734812[[#This Row],[Equity]])/Tabla336106734812[[#This Row],[Equity Peak]],"")</f>
        <v>3.5598204612289117E-2</v>
      </c>
      <c r="V71" s="187">
        <f t="shared" si="26"/>
        <v>0</v>
      </c>
      <c r="W71" s="187">
        <f t="shared" si="27"/>
        <v>0</v>
      </c>
      <c r="X71" s="187">
        <f t="shared" si="28"/>
        <v>0</v>
      </c>
      <c r="Y71" s="187">
        <f t="shared" si="29"/>
        <v>0</v>
      </c>
      <c r="Z71" s="187">
        <f t="shared" si="30"/>
        <v>-0.97</v>
      </c>
      <c r="AA71" s="183">
        <f t="shared" si="31"/>
        <v>0</v>
      </c>
      <c r="AB71" s="187">
        <f t="shared" si="32"/>
        <v>0</v>
      </c>
      <c r="AC71" s="183">
        <f t="shared" si="33"/>
        <v>0</v>
      </c>
      <c r="AD71" s="188">
        <f t="shared" si="34"/>
        <v>4.7916666670062114E-2</v>
      </c>
      <c r="AE71" s="188">
        <f t="shared" si="35"/>
        <v>0</v>
      </c>
      <c r="AF71" s="188">
        <f t="shared" si="36"/>
        <v>4.7916666670062114E-2</v>
      </c>
      <c r="AG71" s="188">
        <f t="shared" si="37"/>
        <v>0</v>
      </c>
    </row>
    <row r="72" spans="2:33" ht="15" customHeight="1" x14ac:dyDescent="0.15">
      <c r="B72" s="174" t="s">
        <v>5</v>
      </c>
      <c r="C72" s="175" t="s">
        <v>13</v>
      </c>
      <c r="D72" s="176" t="str">
        <f t="shared" si="19"/>
        <v>C</v>
      </c>
      <c r="E72" s="177" t="d">
        <v>2021-09-10T22:30:00.000</v>
      </c>
      <c r="F72" s="178" t="s">
        <v>82</v>
      </c>
      <c r="G72" s="179">
        <v>4472.71</v>
      </c>
      <c r="H72" s="179">
        <v>4485.75</v>
      </c>
      <c r="I72" s="180">
        <f t="shared" si="20"/>
        <v>13.039999999999964</v>
      </c>
      <c r="J72" s="179">
        <v>4387.92</v>
      </c>
      <c r="K72" s="177" t="d">
        <v>2021-09-13T01:54:00.00000029336660775</v>
      </c>
      <c r="L72" s="179">
        <v>4473.34</v>
      </c>
      <c r="M72" s="181">
        <f t="shared" si="21"/>
        <v>-0.63</v>
      </c>
      <c r="N72" s="182">
        <f t="shared" si="22"/>
        <v>-0.05</v>
      </c>
      <c r="O72" s="183">
        <f t="shared" si="23"/>
        <v>0</v>
      </c>
      <c r="P72" s="184">
        <f t="shared" si="24"/>
        <v>0</v>
      </c>
      <c r="Q72" s="184">
        <f t="shared" si="25"/>
        <v>-0.05</v>
      </c>
      <c r="R7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31397.5</v>
      </c>
      <c r="T7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32305</v>
      </c>
      <c r="U72" s="186">
        <f ca="1">IF(Tabla336106734812[[#This Row],[Equity]]&lt;Tabla336106734812[[#This Row],[Equity Peak]],(Tabla336106734812[[#This Row],[Equity Peak]]-Tabla336106734812[[#This Row],[Equity]])/Tabla336106734812[[#This Row],[Equity Peak]],"")</f>
        <v>2.8091626683175979E-2</v>
      </c>
      <c r="V72" s="187">
        <f t="shared" si="26"/>
        <v>0</v>
      </c>
      <c r="W72" s="187">
        <f t="shared" si="27"/>
        <v>0</v>
      </c>
      <c r="X72" s="187">
        <f t="shared" si="28"/>
        <v>0</v>
      </c>
      <c r="Y72" s="187">
        <f t="shared" si="29"/>
        <v>0</v>
      </c>
      <c r="Z72" s="187">
        <f t="shared" si="30"/>
        <v>-0.05</v>
      </c>
      <c r="AA72" s="183">
        <f t="shared" si="31"/>
        <v>0</v>
      </c>
      <c r="AB72" s="187">
        <f t="shared" si="32"/>
        <v>0</v>
      </c>
      <c r="AC72" s="183">
        <f t="shared" si="33"/>
        <v>0</v>
      </c>
      <c r="AD72" s="188">
        <f t="shared" si="34"/>
        <v>2.1416666666700621</v>
      </c>
      <c r="AE72" s="188">
        <f t="shared" si="35"/>
        <v>0</v>
      </c>
      <c r="AF72" s="188">
        <f t="shared" si="36"/>
        <v>2.1416666666700621</v>
      </c>
      <c r="AG72" s="188">
        <f t="shared" si="37"/>
        <v>0</v>
      </c>
    </row>
    <row r="73" spans="2:33" ht="15" customHeight="1" x14ac:dyDescent="0.15">
      <c r="B73" s="174" t="s">
        <v>5</v>
      </c>
      <c r="C73" s="175" t="s">
        <v>13</v>
      </c>
      <c r="D73" s="176" t="str">
        <f t="shared" si="19"/>
        <v>C</v>
      </c>
      <c r="E73" s="177" t="d">
        <v>2021-09-10T17:45:00.00000020954757600</v>
      </c>
      <c r="F73" s="178" t="s">
        <v>82</v>
      </c>
      <c r="G73" s="179">
        <v>4483.62</v>
      </c>
      <c r="H73" s="179">
        <v>4495.9799999999996</v>
      </c>
      <c r="I73" s="180">
        <f t="shared" si="20"/>
        <v>12.359999999999673</v>
      </c>
      <c r="J73" s="179">
        <v>4403.2700000000004</v>
      </c>
      <c r="K73" s="177" t="d">
        <v>2021-09-10T19:09:00.00000029336660775</v>
      </c>
      <c r="L73" s="179">
        <v>4491.76</v>
      </c>
      <c r="M73" s="181">
        <f t="shared" si="21"/>
        <v>-8.14</v>
      </c>
      <c r="N73" s="182">
        <f t="shared" si="22"/>
        <v>-0.66</v>
      </c>
      <c r="O73" s="183">
        <f t="shared" si="23"/>
        <v>0</v>
      </c>
      <c r="P73" s="184">
        <f t="shared" si="24"/>
        <v>0</v>
      </c>
      <c r="Q73" s="184">
        <f t="shared" si="25"/>
        <v>-0.66</v>
      </c>
      <c r="R7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31410</v>
      </c>
      <c r="T7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32305</v>
      </c>
      <c r="U73" s="186">
        <f ca="1">IF(Tabla336106734812[[#This Row],[Equity]]&lt;Tabla336106734812[[#This Row],[Equity Peak]],(Tabla336106734812[[#This Row],[Equity Peak]]-Tabla336106734812[[#This Row],[Equity]])/Tabla336106734812[[#This Row],[Equity Peak]],"")</f>
        <v>2.7704689676520663E-2</v>
      </c>
      <c r="V73" s="187">
        <f t="shared" si="26"/>
        <v>0</v>
      </c>
      <c r="W73" s="187">
        <f t="shared" si="27"/>
        <v>0</v>
      </c>
      <c r="X73" s="187">
        <f t="shared" si="28"/>
        <v>0</v>
      </c>
      <c r="Y73" s="187">
        <f t="shared" si="29"/>
        <v>0</v>
      </c>
      <c r="Z73" s="187">
        <f t="shared" si="30"/>
        <v>-0.66</v>
      </c>
      <c r="AA73" s="183">
        <f t="shared" si="31"/>
        <v>0</v>
      </c>
      <c r="AB73" s="187">
        <f t="shared" si="32"/>
        <v>0</v>
      </c>
      <c r="AC73" s="183">
        <f t="shared" si="33"/>
        <v>0</v>
      </c>
      <c r="AD73" s="188">
        <f t="shared" si="34"/>
        <v>5.8333333334303461E-2</v>
      </c>
      <c r="AE73" s="188">
        <f t="shared" si="35"/>
        <v>0</v>
      </c>
      <c r="AF73" s="188">
        <f t="shared" si="36"/>
        <v>5.8333333334303461E-2</v>
      </c>
      <c r="AG73" s="188">
        <f t="shared" si="37"/>
        <v>0</v>
      </c>
    </row>
    <row r="74" spans="2:33" ht="15" customHeight="1" x14ac:dyDescent="0.15">
      <c r="B74" s="174" t="s">
        <v>5</v>
      </c>
      <c r="C74" s="175" t="s">
        <v>15</v>
      </c>
      <c r="D74" s="176" t="str">
        <f t="shared" si="19"/>
        <v>C</v>
      </c>
      <c r="E74" s="177" t="d">
        <v>2021-09-09T16:44:59.99999979045242400</v>
      </c>
      <c r="F74" s="178" t="s">
        <v>82</v>
      </c>
      <c r="G74" s="179">
        <v>4522.7</v>
      </c>
      <c r="H74" s="179">
        <v>4511.34</v>
      </c>
      <c r="I74" s="180">
        <f t="shared" si="20"/>
        <v>11.359999999999673</v>
      </c>
      <c r="J74" s="179">
        <v>4596.55</v>
      </c>
      <c r="K74" s="177" t="d">
        <v>2021-09-09T18:24:00.00000029336660775</v>
      </c>
      <c r="L74" s="179">
        <v>4516.83</v>
      </c>
      <c r="M74" s="181">
        <f t="shared" si="21"/>
        <v>-5.87</v>
      </c>
      <c r="N74" s="182">
        <f t="shared" si="22"/>
        <v>-0.52</v>
      </c>
      <c r="O74" s="183">
        <f t="shared" si="23"/>
        <v>0</v>
      </c>
      <c r="P74" s="184">
        <f t="shared" si="24"/>
        <v>0</v>
      </c>
      <c r="Q74" s="184">
        <f t="shared" si="25"/>
        <v>-0.52</v>
      </c>
      <c r="R7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31575</v>
      </c>
      <c r="T7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32305</v>
      </c>
      <c r="U74" s="186">
        <f ca="1">IF(Tabla336106734812[[#This Row],[Equity]]&lt;Tabla336106734812[[#This Row],[Equity Peak]],(Tabla336106734812[[#This Row],[Equity Peak]]-Tabla336106734812[[#This Row],[Equity]])/Tabla336106734812[[#This Row],[Equity Peak]],"")</f>
        <v>2.2597121188670483E-2</v>
      </c>
      <c r="V74" s="187">
        <f t="shared" si="26"/>
        <v>0</v>
      </c>
      <c r="W74" s="187">
        <f t="shared" si="27"/>
        <v>0</v>
      </c>
      <c r="X74" s="187">
        <f t="shared" si="28"/>
        <v>0</v>
      </c>
      <c r="Y74" s="187">
        <f t="shared" si="29"/>
        <v>0</v>
      </c>
      <c r="Z74" s="187">
        <f t="shared" si="30"/>
        <v>-0.52</v>
      </c>
      <c r="AA74" s="183">
        <f t="shared" si="31"/>
        <v>0</v>
      </c>
      <c r="AB74" s="187">
        <f t="shared" si="32"/>
        <v>0</v>
      </c>
      <c r="AC74" s="183">
        <f t="shared" si="33"/>
        <v>0</v>
      </c>
      <c r="AD74" s="188">
        <f t="shared" si="34"/>
        <v>6.8750000005820766E-2</v>
      </c>
      <c r="AE74" s="188">
        <f t="shared" si="35"/>
        <v>0</v>
      </c>
      <c r="AF74" s="188">
        <f t="shared" si="36"/>
        <v>6.8750000005820766E-2</v>
      </c>
      <c r="AG74" s="188">
        <f t="shared" si="37"/>
        <v>0</v>
      </c>
    </row>
    <row r="75" spans="2:33" ht="15" customHeight="1" x14ac:dyDescent="0.15">
      <c r="B75" s="174" t="s">
        <v>5</v>
      </c>
      <c r="C75" s="175" t="s">
        <v>13</v>
      </c>
      <c r="D75" s="176" t="str">
        <f t="shared" si="19"/>
        <v>C</v>
      </c>
      <c r="E75" s="177" t="d">
        <v>2021-09-07T16:44:59.99999979045242400</v>
      </c>
      <c r="F75" s="178" t="s">
        <v>82</v>
      </c>
      <c r="G75" s="179">
        <v>4525.47</v>
      </c>
      <c r="H75" s="179">
        <v>4534.59</v>
      </c>
      <c r="I75" s="180">
        <f t="shared" si="20"/>
        <v>9.1199999999998909</v>
      </c>
      <c r="J75" s="179">
        <v>4466.18</v>
      </c>
      <c r="K75" s="177" t="d">
        <v>2021-09-07T19:09:00.00000029336660775</v>
      </c>
      <c r="L75" s="179">
        <v>4524.3</v>
      </c>
      <c r="M75" s="181">
        <f t="shared" si="21"/>
        <v>1.17</v>
      </c>
      <c r="N75" s="182">
        <f t="shared" si="22"/>
        <v>0.13</v>
      </c>
      <c r="O75" s="183">
        <f t="shared" si="23"/>
        <v>0</v>
      </c>
      <c r="P75" s="184">
        <f t="shared" si="24"/>
        <v>0.13</v>
      </c>
      <c r="Q75" s="184">
        <f t="shared" si="25"/>
        <v>0</v>
      </c>
      <c r="R7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31705</v>
      </c>
      <c r="T7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32305</v>
      </c>
      <c r="U75" s="186">
        <f ca="1">IF(Tabla336106734812[[#This Row],[Equity]]&lt;Tabla336106734812[[#This Row],[Equity Peak]],(Tabla336106734812[[#This Row],[Equity Peak]]-Tabla336106734812[[#This Row],[Equity]])/Tabla336106734812[[#This Row],[Equity Peak]],"")</f>
        <v>1.8572976319455193E-2</v>
      </c>
      <c r="V75" s="187">
        <f t="shared" si="26"/>
        <v>0</v>
      </c>
      <c r="W75" s="187">
        <f t="shared" si="27"/>
        <v>0</v>
      </c>
      <c r="X75" s="187">
        <f t="shared" si="28"/>
        <v>0</v>
      </c>
      <c r="Y75" s="187">
        <f t="shared" si="29"/>
        <v>0</v>
      </c>
      <c r="Z75" s="187">
        <f t="shared" si="30"/>
        <v>0.13</v>
      </c>
      <c r="AA75" s="183">
        <f t="shared" si="31"/>
        <v>0</v>
      </c>
      <c r="AB75" s="187">
        <f t="shared" si="32"/>
        <v>0</v>
      </c>
      <c r="AC75" s="183">
        <f t="shared" si="33"/>
        <v>0</v>
      </c>
      <c r="AD75" s="188">
        <f t="shared" si="34"/>
        <v>0.10000000000582077</v>
      </c>
      <c r="AE75" s="188">
        <f t="shared" si="35"/>
        <v>0.10000000000582077</v>
      </c>
      <c r="AF75" s="188">
        <f t="shared" si="36"/>
        <v>0</v>
      </c>
      <c r="AG75" s="188">
        <f t="shared" si="37"/>
        <v>0</v>
      </c>
    </row>
    <row r="76" spans="2:33" ht="15" customHeight="1" x14ac:dyDescent="0.15">
      <c r="B76" s="174" t="s">
        <v>5</v>
      </c>
      <c r="C76" s="175" t="s">
        <v>15</v>
      </c>
      <c r="D76" s="176" t="str">
        <f t="shared" si="19"/>
        <v>C</v>
      </c>
      <c r="E76" s="177" t="d">
        <v>2021-09-06T09:30:00.00000020954757600</v>
      </c>
      <c r="F76" s="178" t="s">
        <v>82</v>
      </c>
      <c r="G76" s="179">
        <v>4542.55</v>
      </c>
      <c r="H76" s="179">
        <v>4532.5200000000004</v>
      </c>
      <c r="I76" s="180">
        <f t="shared" si="20"/>
        <v>10.029999999999745</v>
      </c>
      <c r="J76" s="179">
        <v>4607.7299999999996</v>
      </c>
      <c r="K76" s="177" t="d">
        <v>2021-09-07T03:04:00.00000015366822150</v>
      </c>
      <c r="L76" s="179">
        <v>4539.3999999999996</v>
      </c>
      <c r="M76" s="181">
        <f t="shared" si="21"/>
        <v>-3.15</v>
      </c>
      <c r="N76" s="182">
        <f t="shared" si="22"/>
        <v>-0.31</v>
      </c>
      <c r="O76" s="183">
        <f t="shared" si="23"/>
        <v>0</v>
      </c>
      <c r="P76" s="184">
        <f t="shared" si="24"/>
        <v>0</v>
      </c>
      <c r="Q76" s="184">
        <f t="shared" si="25"/>
        <v>-0.31</v>
      </c>
      <c r="R7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31672.5</v>
      </c>
      <c r="T7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32305</v>
      </c>
      <c r="U76" s="186">
        <f ca="1">IF(Tabla336106734812[[#This Row],[Equity]]&lt;Tabla336106734812[[#This Row],[Equity Peak]],(Tabla336106734812[[#This Row],[Equity Peak]]-Tabla336106734812[[#This Row],[Equity]])/Tabla336106734812[[#This Row],[Equity Peak]],"")</f>
        <v>1.9579012536759016E-2</v>
      </c>
      <c r="V76" s="187">
        <f t="shared" si="26"/>
        <v>0</v>
      </c>
      <c r="W76" s="187">
        <f t="shared" si="27"/>
        <v>0</v>
      </c>
      <c r="X76" s="187">
        <f t="shared" si="28"/>
        <v>0</v>
      </c>
      <c r="Y76" s="187">
        <f t="shared" si="29"/>
        <v>0</v>
      </c>
      <c r="Z76" s="187">
        <f t="shared" si="30"/>
        <v>-0.31</v>
      </c>
      <c r="AA76" s="183">
        <f t="shared" si="31"/>
        <v>0</v>
      </c>
      <c r="AB76" s="187">
        <f t="shared" si="32"/>
        <v>0</v>
      </c>
      <c r="AC76" s="183">
        <f t="shared" si="33"/>
        <v>0</v>
      </c>
      <c r="AD76" s="188">
        <f t="shared" si="34"/>
        <v>0.73194444444379769</v>
      </c>
      <c r="AE76" s="188">
        <f t="shared" si="35"/>
        <v>0</v>
      </c>
      <c r="AF76" s="188">
        <f t="shared" si="36"/>
        <v>0.73194444444379769</v>
      </c>
      <c r="AG76" s="188">
        <f t="shared" si="37"/>
        <v>0</v>
      </c>
    </row>
    <row r="77" spans="2:33" ht="15" customHeight="1" x14ac:dyDescent="0.15">
      <c r="B77" s="174" t="s">
        <v>5</v>
      </c>
      <c r="C77" s="175" t="s">
        <v>15</v>
      </c>
      <c r="D77" s="176" t="str">
        <f t="shared" si="19"/>
        <v>C</v>
      </c>
      <c r="E77" s="177" t="d">
        <v>2021-09-03T06:00:00.000</v>
      </c>
      <c r="F77" s="178" t="s">
        <v>82</v>
      </c>
      <c r="G77" s="179">
        <v>4547.09</v>
      </c>
      <c r="H77" s="179">
        <v>4536.95</v>
      </c>
      <c r="I77" s="180">
        <f t="shared" si="20"/>
        <v>10.140000000000327</v>
      </c>
      <c r="J77" s="179">
        <v>4612.99</v>
      </c>
      <c r="K77" s="177" t="d">
        <v>2021-09-03T15:39:00.00000008381903175</v>
      </c>
      <c r="L77" s="179">
        <v>4536.95</v>
      </c>
      <c r="M77" s="181">
        <f t="shared" si="21"/>
        <v>-10.14</v>
      </c>
      <c r="N77" s="182">
        <f t="shared" si="22"/>
        <v>-1</v>
      </c>
      <c r="O77" s="183">
        <f t="shared" si="23"/>
        <v>0</v>
      </c>
      <c r="P77" s="184">
        <f t="shared" si="24"/>
        <v>0</v>
      </c>
      <c r="Q77" s="184">
        <f t="shared" si="25"/>
        <v>-1</v>
      </c>
      <c r="R7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31750</v>
      </c>
      <c r="T7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32305</v>
      </c>
      <c r="U77" s="186">
        <f ca="1">IF(Tabla336106734812[[#This Row],[Equity]]&lt;Tabla336106734812[[#This Row],[Equity Peak]],(Tabla336106734812[[#This Row],[Equity Peak]]-Tabla336106734812[[#This Row],[Equity]])/Tabla336106734812[[#This Row],[Equity Peak]],"")</f>
        <v>1.7180003095496055E-2</v>
      </c>
      <c r="V77" s="187">
        <f t="shared" si="26"/>
        <v>0</v>
      </c>
      <c r="W77" s="187">
        <f t="shared" si="27"/>
        <v>0</v>
      </c>
      <c r="X77" s="187">
        <f t="shared" si="28"/>
        <v>0</v>
      </c>
      <c r="Y77" s="187">
        <f t="shared" si="29"/>
        <v>0</v>
      </c>
      <c r="Z77" s="187">
        <f t="shared" si="30"/>
        <v>-1</v>
      </c>
      <c r="AA77" s="183">
        <f t="shared" si="31"/>
        <v>0</v>
      </c>
      <c r="AB77" s="187">
        <f t="shared" si="32"/>
        <v>0</v>
      </c>
      <c r="AC77" s="183">
        <f t="shared" si="33"/>
        <v>0</v>
      </c>
      <c r="AD77" s="188">
        <f t="shared" si="34"/>
        <v>0.40208333333430346</v>
      </c>
      <c r="AE77" s="188">
        <f t="shared" si="35"/>
        <v>0</v>
      </c>
      <c r="AF77" s="188">
        <f t="shared" si="36"/>
        <v>0.40208333333430346</v>
      </c>
      <c r="AG77" s="188">
        <f t="shared" si="37"/>
        <v>0</v>
      </c>
    </row>
    <row r="78" spans="2:33" ht="15" customHeight="1" x14ac:dyDescent="0.15">
      <c r="B78" s="174" t="s">
        <v>5</v>
      </c>
      <c r="C78" s="175" t="s">
        <v>15</v>
      </c>
      <c r="D78" s="176" t="str">
        <f t="shared" si="19"/>
        <v>C</v>
      </c>
      <c r="E78" s="177" t="d">
        <v>2021-09-02T15:45:00.000</v>
      </c>
      <c r="F78" s="178" t="s">
        <v>82</v>
      </c>
      <c r="G78" s="179">
        <v>4534.49</v>
      </c>
      <c r="H78" s="179">
        <v>4524.78</v>
      </c>
      <c r="I78" s="180">
        <f t="shared" si="20"/>
        <v>9.7100000000000364</v>
      </c>
      <c r="J78" s="179">
        <v>4597.6099999999997</v>
      </c>
      <c r="K78" s="177" t="d">
        <v>2021-09-02T20:39:00.00000029336660775</v>
      </c>
      <c r="L78" s="179">
        <v>4531.74</v>
      </c>
      <c r="M78" s="181">
        <f t="shared" si="21"/>
        <v>-2.75</v>
      </c>
      <c r="N78" s="182">
        <f t="shared" si="22"/>
        <v>-0.28000000000000003</v>
      </c>
      <c r="O78" s="183">
        <f t="shared" si="23"/>
        <v>0</v>
      </c>
      <c r="P78" s="184">
        <f t="shared" si="24"/>
        <v>0</v>
      </c>
      <c r="Q78" s="184">
        <f t="shared" si="25"/>
        <v>-0.28000000000000003</v>
      </c>
      <c r="R7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32000</v>
      </c>
      <c r="T7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32305</v>
      </c>
      <c r="U78" s="186">
        <f ca="1">IF(Tabla336106734812[[#This Row],[Equity]]&lt;Tabla336106734812[[#This Row],[Equity Peak]],(Tabla336106734812[[#This Row],[Equity Peak]]-Tabla336106734812[[#This Row],[Equity]])/Tabla336106734812[[#This Row],[Equity Peak]],"")</f>
        <v>9.4412629623897223E-3</v>
      </c>
      <c r="V78" s="187">
        <f t="shared" si="26"/>
        <v>0</v>
      </c>
      <c r="W78" s="187">
        <f t="shared" si="27"/>
        <v>0</v>
      </c>
      <c r="X78" s="187">
        <f t="shared" si="28"/>
        <v>0</v>
      </c>
      <c r="Y78" s="187">
        <f t="shared" si="29"/>
        <v>0</v>
      </c>
      <c r="Z78" s="187">
        <f t="shared" si="30"/>
        <v>-0.28000000000000003</v>
      </c>
      <c r="AA78" s="183">
        <f t="shared" si="31"/>
        <v>0</v>
      </c>
      <c r="AB78" s="187">
        <f t="shared" si="32"/>
        <v>0</v>
      </c>
      <c r="AC78" s="183">
        <f t="shared" si="33"/>
        <v>0</v>
      </c>
      <c r="AD78" s="188">
        <f t="shared" si="34"/>
        <v>0.20416666667006211</v>
      </c>
      <c r="AE78" s="188">
        <f t="shared" si="35"/>
        <v>0</v>
      </c>
      <c r="AF78" s="188">
        <f t="shared" si="36"/>
        <v>0.20416666667006211</v>
      </c>
      <c r="AG78" s="188">
        <f t="shared" si="37"/>
        <v>0</v>
      </c>
    </row>
    <row r="79" spans="2:33" ht="15" customHeight="1" x14ac:dyDescent="0.15">
      <c r="B79" s="174" t="s">
        <v>5</v>
      </c>
      <c r="C79" s="175" t="s">
        <v>15</v>
      </c>
      <c r="D79" s="176" t="str">
        <f t="shared" si="19"/>
        <v>C</v>
      </c>
      <c r="E79" s="177" t="d">
        <v>2021-09-01T06:00:00.000</v>
      </c>
      <c r="F79" s="178" t="s">
        <v>82</v>
      </c>
      <c r="G79" s="179">
        <v>4536.05</v>
      </c>
      <c r="H79" s="179">
        <v>4525.26</v>
      </c>
      <c r="I79" s="180">
        <f t="shared" si="20"/>
        <v>10.789999999999964</v>
      </c>
      <c r="J79" s="179">
        <v>4606.16</v>
      </c>
      <c r="K79" s="177" t="d">
        <v>2021-09-01T16:24:00.00000008381903175</v>
      </c>
      <c r="L79" s="179">
        <v>4530.51</v>
      </c>
      <c r="M79" s="181">
        <f t="shared" si="21"/>
        <v>-5.54</v>
      </c>
      <c r="N79" s="182">
        <f t="shared" si="22"/>
        <v>-0.51</v>
      </c>
      <c r="O79" s="183">
        <f t="shared" si="23"/>
        <v>0</v>
      </c>
      <c r="P79" s="184">
        <f t="shared" si="24"/>
        <v>0</v>
      </c>
      <c r="Q79" s="184">
        <f t="shared" si="25"/>
        <v>-0.51</v>
      </c>
      <c r="R7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7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32070</v>
      </c>
      <c r="T7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32305</v>
      </c>
      <c r="U79" s="186">
        <f ca="1">IF(Tabla336106734812[[#This Row],[Equity]]&lt;Tabla336106734812[[#This Row],[Equity Peak]],(Tabla336106734812[[#This Row],[Equity Peak]]-Tabla336106734812[[#This Row],[Equity]])/Tabla336106734812[[#This Row],[Equity Peak]],"")</f>
        <v>7.2744157251199504E-3</v>
      </c>
      <c r="V79" s="187">
        <f t="shared" si="26"/>
        <v>0</v>
      </c>
      <c r="W79" s="187">
        <f t="shared" si="27"/>
        <v>0</v>
      </c>
      <c r="X79" s="187">
        <f t="shared" si="28"/>
        <v>0</v>
      </c>
      <c r="Y79" s="187">
        <f t="shared" si="29"/>
        <v>0</v>
      </c>
      <c r="Z79" s="187">
        <f t="shared" si="30"/>
        <v>-0.51</v>
      </c>
      <c r="AA79" s="183">
        <f t="shared" si="31"/>
        <v>0</v>
      </c>
      <c r="AB79" s="187">
        <f t="shared" si="32"/>
        <v>0</v>
      </c>
      <c r="AC79" s="183">
        <f t="shared" si="33"/>
        <v>0</v>
      </c>
      <c r="AD79" s="188">
        <f t="shared" si="34"/>
        <v>0.43333333333430346</v>
      </c>
      <c r="AE79" s="188">
        <f t="shared" si="35"/>
        <v>0</v>
      </c>
      <c r="AF79" s="188">
        <f t="shared" si="36"/>
        <v>0.43333333333430346</v>
      </c>
      <c r="AG79" s="188">
        <f t="shared" si="37"/>
        <v>0</v>
      </c>
    </row>
    <row r="80" spans="2:33" ht="15" customHeight="1" x14ac:dyDescent="0.15">
      <c r="B80" s="174" t="s">
        <v>5</v>
      </c>
      <c r="C80" s="175" t="s">
        <v>15</v>
      </c>
      <c r="D80" s="176" t="str">
        <f t="shared" si="19"/>
        <v>C</v>
      </c>
      <c r="E80" s="177" t="d">
        <v>2021-08-27T17:15:00.000</v>
      </c>
      <c r="F80" s="178" t="s">
        <v>82</v>
      </c>
      <c r="G80" s="179">
        <v>4499.95</v>
      </c>
      <c r="H80" s="179">
        <v>4489.78</v>
      </c>
      <c r="I80" s="180">
        <f t="shared" si="20"/>
        <v>10.170000000000073</v>
      </c>
      <c r="J80" s="179">
        <v>4566.05</v>
      </c>
      <c r="K80" s="177" t="d">
        <v>2021-08-30T03:36:59.99999969266355025</v>
      </c>
      <c r="L80" s="179">
        <v>4505.57</v>
      </c>
      <c r="M80" s="181">
        <f t="shared" si="21"/>
        <v>5.62</v>
      </c>
      <c r="N80" s="182">
        <f t="shared" si="22"/>
        <v>0.55000000000000004</v>
      </c>
      <c r="O80" s="183">
        <f t="shared" si="23"/>
        <v>0</v>
      </c>
      <c r="P80" s="184">
        <f t="shared" si="24"/>
        <v>0.55000000000000004</v>
      </c>
      <c r="Q80" s="184">
        <f t="shared" si="25"/>
        <v>0</v>
      </c>
      <c r="R8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32197.5</v>
      </c>
      <c r="T8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32305</v>
      </c>
      <c r="U80" s="186">
        <f ca="1">IF(Tabla336106734812[[#This Row],[Equity]]&lt;Tabla336106734812[[#This Row],[Equity Peak]],(Tabla336106734812[[#This Row],[Equity Peak]]-Tabla336106734812[[#This Row],[Equity]])/Tabla336106734812[[#This Row],[Equity Peak]],"")</f>
        <v>3.3276582572357221E-3</v>
      </c>
      <c r="V80" s="187">
        <f t="shared" si="26"/>
        <v>0</v>
      </c>
      <c r="W80" s="187">
        <f t="shared" si="27"/>
        <v>0</v>
      </c>
      <c r="X80" s="187">
        <f t="shared" si="28"/>
        <v>0</v>
      </c>
      <c r="Y80" s="187">
        <f t="shared" si="29"/>
        <v>0</v>
      </c>
      <c r="Z80" s="187">
        <f t="shared" si="30"/>
        <v>0.55000000000000004</v>
      </c>
      <c r="AA80" s="183">
        <f t="shared" si="31"/>
        <v>0</v>
      </c>
      <c r="AB80" s="187">
        <f t="shared" si="32"/>
        <v>0</v>
      </c>
      <c r="AC80" s="183">
        <f t="shared" si="33"/>
        <v>0</v>
      </c>
      <c r="AD80" s="188">
        <f t="shared" si="34"/>
        <v>2.4319444444408873</v>
      </c>
      <c r="AE80" s="188">
        <f t="shared" si="35"/>
        <v>2.4319444444408873</v>
      </c>
      <c r="AF80" s="188">
        <f t="shared" si="36"/>
        <v>0</v>
      </c>
      <c r="AG80" s="188">
        <f t="shared" si="37"/>
        <v>0</v>
      </c>
    </row>
    <row r="81" spans="2:33" ht="15" customHeight="1" x14ac:dyDescent="0.15">
      <c r="B81" s="174" t="s">
        <v>5</v>
      </c>
      <c r="C81" s="175" t="s">
        <v>13</v>
      </c>
      <c r="D81" s="176" t="str">
        <f t="shared" ref="D81:D112" si="38">IF(E81&lt;&gt;"",IF(K81&lt;&gt;"","C","O"),"")</f>
        <v>C</v>
      </c>
      <c r="E81" s="177" t="d">
        <v>2021-08-27T03:14:59.99999979045242400</v>
      </c>
      <c r="F81" s="178" t="s">
        <v>82</v>
      </c>
      <c r="G81" s="179">
        <v>4466.1000000000004</v>
      </c>
      <c r="H81" s="179">
        <v>4477.2700000000004</v>
      </c>
      <c r="I81" s="180">
        <f t="shared" ref="I81:I112" si="39">ABS(G81-H81)</f>
        <v>11.170000000000073</v>
      </c>
      <c r="J81" s="179">
        <v>4393.53</v>
      </c>
      <c r="K81" s="177" t="d">
        <v>2021-08-27T05:06:00.00000012572854425</v>
      </c>
      <c r="L81" s="179">
        <v>4477.05</v>
      </c>
      <c r="M81" s="181">
        <f t="shared" ref="M81:M112" si="40">ROUND(IF(C81="L",(L81-G81),(G81-L81)),4)</f>
        <v>-10.95</v>
      </c>
      <c r="N81" s="182">
        <f t="shared" ref="N81:N112" si="41">IFERROR(ROUND((M81/I81),2),"")</f>
        <v>-0.98</v>
      </c>
      <c r="O81" s="183">
        <f t="shared" ref="O81:O112" si="42">IF(D81="O",IF(N81&lt;0,N81,0),0)</f>
        <v>0</v>
      </c>
      <c r="P81" s="184">
        <f t="shared" ref="P81:P112" si="43">IF(N81&gt;= 0,N81,0)</f>
        <v>0</v>
      </c>
      <c r="Q81" s="184">
        <f t="shared" ref="Q81:Q112" si="44">IF(N81&lt;0,N81,0)</f>
        <v>-0.98</v>
      </c>
      <c r="R8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32060</v>
      </c>
      <c r="T8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32305</v>
      </c>
      <c r="U81" s="186">
        <f ca="1">IF(Tabla336106734812[[#This Row],[Equity]]&lt;Tabla336106734812[[#This Row],[Equity Peak]],(Tabla336106734812[[#This Row],[Equity Peak]]-Tabla336106734812[[#This Row],[Equity]])/Tabla336106734812[[#This Row],[Equity Peak]],"")</f>
        <v>7.5839653304442039E-3</v>
      </c>
      <c r="V81" s="187">
        <f t="shared" ref="V81:V112" si="45">IF(B81="FX",N81,0)</f>
        <v>0</v>
      </c>
      <c r="W81" s="187">
        <f t="shared" ref="W81:W112" si="46">IF(D81="O",IF(V81&lt;0,V81,0),0)</f>
        <v>0</v>
      </c>
      <c r="X81" s="187">
        <f t="shared" ref="X81:X112" si="47">IF(B81="COM",N81,0)</f>
        <v>0</v>
      </c>
      <c r="Y81" s="187">
        <f t="shared" ref="Y81:Y112" si="48">IF(D81="O",IF(X81&lt;0,X81,0),0)</f>
        <v>0</v>
      </c>
      <c r="Z81" s="187">
        <f t="shared" ref="Z81:Z112" si="49">IF(B81="IND",N81,0)</f>
        <v>-0.98</v>
      </c>
      <c r="AA81" s="183">
        <f t="shared" ref="AA81:AA112" si="50">IF(D81="O",IF(Z81&lt;0,Z81,0),0)</f>
        <v>0</v>
      </c>
      <c r="AB81" s="187">
        <f t="shared" ref="AB81:AB112" si="51">IF(B81="CRYPTO",N81,0)</f>
        <v>0</v>
      </c>
      <c r="AC81" s="183">
        <f t="shared" ref="AC81:AC112" si="52">IF(D81="O",IF(AB81&lt;0,AB81,0),0)</f>
        <v>0</v>
      </c>
      <c r="AD81" s="188">
        <f t="shared" ref="AD81:AD112" si="53">IF(K81&lt;&gt;"",K81-E81,0)</f>
        <v>7.7083333337213844E-2</v>
      </c>
      <c r="AE81" s="188">
        <f t="shared" ref="AE81:AE112" si="54">IF(N81&gt;0,AD81,0)</f>
        <v>0</v>
      </c>
      <c r="AF81" s="188">
        <f t="shared" ref="AF81:AF112" si="55">IF(N81&lt;0,AD81,0)</f>
        <v>7.7083333337213844E-2</v>
      </c>
      <c r="AG81" s="188">
        <f t="shared" ref="AG81:AG112" si="56">IF(N81=0,AD81,0)</f>
        <v>0</v>
      </c>
    </row>
    <row r="82" spans="2:33" ht="15" customHeight="1" x14ac:dyDescent="0.15">
      <c r="B82" s="174" t="s">
        <v>5</v>
      </c>
      <c r="C82" s="175" t="s">
        <v>15</v>
      </c>
      <c r="D82" s="176" t="str">
        <f t="shared" si="38"/>
        <v>C</v>
      </c>
      <c r="E82" s="177" t="d">
        <v>2021-08-20T17:00:00.00000020954757600</v>
      </c>
      <c r="F82" s="178" t="s">
        <v>82</v>
      </c>
      <c r="G82" s="179">
        <v>4425.78</v>
      </c>
      <c r="H82" s="179">
        <v>4406.99</v>
      </c>
      <c r="I82" s="180">
        <f t="shared" si="39"/>
        <v>18.789999999999964</v>
      </c>
      <c r="J82" s="179">
        <v>4547.91</v>
      </c>
      <c r="K82" s="177" t="d">
        <v>2021-08-26T10:09:00.00000029336660775</v>
      </c>
      <c r="L82" s="179">
        <v>4485.0600000000004</v>
      </c>
      <c r="M82" s="181">
        <f t="shared" si="40"/>
        <v>59.28</v>
      </c>
      <c r="N82" s="182">
        <f t="shared" si="41"/>
        <v>3.15</v>
      </c>
      <c r="O82" s="183">
        <f t="shared" si="42"/>
        <v>0</v>
      </c>
      <c r="P82" s="184">
        <f t="shared" si="43"/>
        <v>3.15</v>
      </c>
      <c r="Q82" s="184">
        <f t="shared" si="44"/>
        <v>0</v>
      </c>
      <c r="R8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32305</v>
      </c>
      <c r="T8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32305</v>
      </c>
      <c r="U82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82" s="187">
        <f t="shared" si="45"/>
        <v>0</v>
      </c>
      <c r="W82" s="187">
        <f t="shared" si="46"/>
        <v>0</v>
      </c>
      <c r="X82" s="187">
        <f t="shared" si="47"/>
        <v>0</v>
      </c>
      <c r="Y82" s="187">
        <f t="shared" si="48"/>
        <v>0</v>
      </c>
      <c r="Z82" s="187">
        <f t="shared" si="49"/>
        <v>3.15</v>
      </c>
      <c r="AA82" s="183">
        <f t="shared" si="50"/>
        <v>0</v>
      </c>
      <c r="AB82" s="187">
        <f t="shared" si="51"/>
        <v>0</v>
      </c>
      <c r="AC82" s="183">
        <f t="shared" si="52"/>
        <v>0</v>
      </c>
      <c r="AD82" s="188">
        <f t="shared" si="53"/>
        <v>5.7145833333343035</v>
      </c>
      <c r="AE82" s="188">
        <f t="shared" si="54"/>
        <v>5.7145833333343035</v>
      </c>
      <c r="AF82" s="188">
        <f t="shared" si="55"/>
        <v>0</v>
      </c>
      <c r="AG82" s="188">
        <f t="shared" si="56"/>
        <v>0</v>
      </c>
    </row>
    <row r="83" spans="2:33" ht="15" customHeight="1" x14ac:dyDescent="0.15">
      <c r="B83" s="174" t="s">
        <v>5</v>
      </c>
      <c r="C83" s="175" t="s">
        <v>13</v>
      </c>
      <c r="D83" s="176" t="str">
        <f t="shared" si="38"/>
        <v>C</v>
      </c>
      <c r="E83" s="177" t="d">
        <v>2021-08-20T10:30:00.000</v>
      </c>
      <c r="F83" s="178" t="s">
        <v>82</v>
      </c>
      <c r="G83" s="179">
        <v>4376.9799999999996</v>
      </c>
      <c r="H83" s="179">
        <v>4394.8</v>
      </c>
      <c r="I83" s="180">
        <f t="shared" si="39"/>
        <v>17.820000000000618</v>
      </c>
      <c r="J83" s="179">
        <v>4261.12</v>
      </c>
      <c r="K83" s="177" t="d">
        <v>2021-08-20T15:36:00.00000012572854425</v>
      </c>
      <c r="L83" s="179">
        <v>4394.8</v>
      </c>
      <c r="M83" s="181">
        <f t="shared" si="40"/>
        <v>-17.82</v>
      </c>
      <c r="N83" s="182">
        <f t="shared" si="41"/>
        <v>-1</v>
      </c>
      <c r="O83" s="183">
        <f t="shared" si="42"/>
        <v>0</v>
      </c>
      <c r="P83" s="184">
        <f t="shared" si="43"/>
        <v>0</v>
      </c>
      <c r="Q83" s="184">
        <f t="shared" si="44"/>
        <v>-1</v>
      </c>
      <c r="R8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31517.5</v>
      </c>
      <c r="T8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31767.5</v>
      </c>
      <c r="U83" s="186">
        <f ca="1">IF(Tabla336106734812[[#This Row],[Equity]]&lt;Tabla336106734812[[#This Row],[Equity Peak]],(Tabla336106734812[[#This Row],[Equity Peak]]-Tabla336106734812[[#This Row],[Equity]])/Tabla336106734812[[#This Row],[Equity Peak]],"")</f>
        <v>7.8696781301644762E-3</v>
      </c>
      <c r="V83" s="187">
        <f t="shared" si="45"/>
        <v>0</v>
      </c>
      <c r="W83" s="187">
        <f t="shared" si="46"/>
        <v>0</v>
      </c>
      <c r="X83" s="187">
        <f t="shared" si="47"/>
        <v>0</v>
      </c>
      <c r="Y83" s="187">
        <f t="shared" si="48"/>
        <v>0</v>
      </c>
      <c r="Z83" s="187">
        <f t="shared" si="49"/>
        <v>-1</v>
      </c>
      <c r="AA83" s="183">
        <f t="shared" si="50"/>
        <v>0</v>
      </c>
      <c r="AB83" s="187">
        <f t="shared" si="51"/>
        <v>0</v>
      </c>
      <c r="AC83" s="183">
        <f t="shared" si="52"/>
        <v>0</v>
      </c>
      <c r="AD83" s="188">
        <f t="shared" si="53"/>
        <v>0.21250000000145519</v>
      </c>
      <c r="AE83" s="188">
        <f t="shared" si="54"/>
        <v>0</v>
      </c>
      <c r="AF83" s="188">
        <f t="shared" si="55"/>
        <v>0.21250000000145519</v>
      </c>
      <c r="AG83" s="188">
        <f t="shared" si="56"/>
        <v>0</v>
      </c>
    </row>
    <row r="84" spans="2:33" ht="15" customHeight="1" x14ac:dyDescent="0.15">
      <c r="B84" s="174" t="s">
        <v>5</v>
      </c>
      <c r="C84" s="175" t="s">
        <v>13</v>
      </c>
      <c r="D84" s="176" t="str">
        <f t="shared" si="38"/>
        <v>C</v>
      </c>
      <c r="E84" s="177" t="d">
        <v>2021-08-18T21:14:59.99999979045242400</v>
      </c>
      <c r="F84" s="178" t="s">
        <v>82</v>
      </c>
      <c r="G84" s="179">
        <v>4432.41</v>
      </c>
      <c r="H84" s="179">
        <v>4444.1400000000003</v>
      </c>
      <c r="I84" s="180">
        <f t="shared" si="39"/>
        <v>11.730000000000473</v>
      </c>
      <c r="J84" s="179">
        <v>4356.1899999999996</v>
      </c>
      <c r="K84" s="177" t="d">
        <v>2021-08-19T12:07:00.00000011175870900</v>
      </c>
      <c r="L84" s="179">
        <v>4356.1899999999996</v>
      </c>
      <c r="M84" s="181">
        <f t="shared" si="40"/>
        <v>76.22</v>
      </c>
      <c r="N84" s="182">
        <f t="shared" si="41"/>
        <v>6.5</v>
      </c>
      <c r="O84" s="183">
        <f t="shared" si="42"/>
        <v>0</v>
      </c>
      <c r="P84" s="184">
        <f t="shared" si="43"/>
        <v>6.5</v>
      </c>
      <c r="Q84" s="184">
        <f t="shared" si="44"/>
        <v>0</v>
      </c>
      <c r="R8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31767.5</v>
      </c>
      <c r="T8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31767.5</v>
      </c>
      <c r="U84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84" s="187">
        <f t="shared" si="45"/>
        <v>0</v>
      </c>
      <c r="W84" s="187">
        <f t="shared" si="46"/>
        <v>0</v>
      </c>
      <c r="X84" s="187">
        <f t="shared" si="47"/>
        <v>0</v>
      </c>
      <c r="Y84" s="187">
        <f t="shared" si="48"/>
        <v>0</v>
      </c>
      <c r="Z84" s="187">
        <f t="shared" si="49"/>
        <v>6.5</v>
      </c>
      <c r="AA84" s="183">
        <f t="shared" si="50"/>
        <v>0</v>
      </c>
      <c r="AB84" s="187">
        <f t="shared" si="51"/>
        <v>0</v>
      </c>
      <c r="AC84" s="183">
        <f t="shared" si="52"/>
        <v>0</v>
      </c>
      <c r="AD84" s="188">
        <f t="shared" si="53"/>
        <v>0.61944444444816327</v>
      </c>
      <c r="AE84" s="188">
        <f t="shared" si="54"/>
        <v>0.61944444444816327</v>
      </c>
      <c r="AF84" s="188">
        <f t="shared" si="55"/>
        <v>0</v>
      </c>
      <c r="AG84" s="188">
        <f t="shared" si="56"/>
        <v>0</v>
      </c>
    </row>
    <row r="85" spans="2:33" ht="15" customHeight="1" x14ac:dyDescent="0.15">
      <c r="B85" s="174" t="s">
        <v>5</v>
      </c>
      <c r="C85" s="175" t="s">
        <v>13</v>
      </c>
      <c r="D85" s="176" t="str">
        <f t="shared" si="38"/>
        <v>C</v>
      </c>
      <c r="E85" s="177" t="d">
        <v>2021-08-17T18:59:59.99999979045242400</v>
      </c>
      <c r="F85" s="178" t="s">
        <v>82</v>
      </c>
      <c r="G85" s="179">
        <v>4438.84</v>
      </c>
      <c r="H85" s="179">
        <v>4448.5600000000004</v>
      </c>
      <c r="I85" s="180">
        <f t="shared" si="39"/>
        <v>9.7200000000002547</v>
      </c>
      <c r="J85" s="179">
        <v>4375.63</v>
      </c>
      <c r="K85" s="177" t="d">
        <v>2021-08-17T20:09:00.00000008381903175</v>
      </c>
      <c r="L85" s="179">
        <v>4428.3900000000003</v>
      </c>
      <c r="M85" s="181">
        <f t="shared" si="40"/>
        <v>10.45</v>
      </c>
      <c r="N85" s="182">
        <f t="shared" si="41"/>
        <v>1.08</v>
      </c>
      <c r="O85" s="183">
        <f t="shared" si="42"/>
        <v>0</v>
      </c>
      <c r="P85" s="184">
        <f t="shared" si="43"/>
        <v>1.08</v>
      </c>
      <c r="Q85" s="184">
        <f t="shared" si="44"/>
        <v>0</v>
      </c>
      <c r="R8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30142.5</v>
      </c>
      <c r="T8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31055</v>
      </c>
      <c r="U85" s="186">
        <f ca="1">IF(Tabla336106734812[[#This Row],[Equity]]&lt;Tabla336106734812[[#This Row],[Equity Peak]],(Tabla336106734812[[#This Row],[Equity Peak]]-Tabla336106734812[[#This Row],[Equity]])/Tabla336106734812[[#This Row],[Equity Peak]],"")</f>
        <v>2.9383352117211398E-2</v>
      </c>
      <c r="V85" s="187">
        <f t="shared" si="45"/>
        <v>0</v>
      </c>
      <c r="W85" s="187">
        <f t="shared" si="46"/>
        <v>0</v>
      </c>
      <c r="X85" s="187">
        <f t="shared" si="47"/>
        <v>0</v>
      </c>
      <c r="Y85" s="187">
        <f t="shared" si="48"/>
        <v>0</v>
      </c>
      <c r="Z85" s="187">
        <f t="shared" si="49"/>
        <v>1.08</v>
      </c>
      <c r="AA85" s="183">
        <f t="shared" si="50"/>
        <v>0</v>
      </c>
      <c r="AB85" s="187">
        <f t="shared" si="51"/>
        <v>0</v>
      </c>
      <c r="AC85" s="183">
        <f t="shared" si="52"/>
        <v>0</v>
      </c>
      <c r="AD85" s="188">
        <f t="shared" si="53"/>
        <v>4.7916666670062114E-2</v>
      </c>
      <c r="AE85" s="188">
        <f t="shared" si="54"/>
        <v>4.7916666670062114E-2</v>
      </c>
      <c r="AF85" s="188">
        <f t="shared" si="55"/>
        <v>0</v>
      </c>
      <c r="AG85" s="188">
        <f t="shared" si="56"/>
        <v>0</v>
      </c>
    </row>
    <row r="86" spans="2:33" ht="15" customHeight="1" x14ac:dyDescent="0.15">
      <c r="B86" s="174" t="s">
        <v>5</v>
      </c>
      <c r="C86" s="175" t="s">
        <v>15</v>
      </c>
      <c r="D86" s="176" t="str">
        <f t="shared" si="38"/>
        <v>C</v>
      </c>
      <c r="E86" s="177" t="d">
        <v>2021-08-16T20:45:00.00000020954757600</v>
      </c>
      <c r="F86" s="178" t="s">
        <v>82</v>
      </c>
      <c r="G86" s="179">
        <v>4464.78</v>
      </c>
      <c r="H86" s="179">
        <v>4456.1000000000004</v>
      </c>
      <c r="I86" s="180">
        <f t="shared" si="39"/>
        <v>8.6799999999993815</v>
      </c>
      <c r="J86" s="179">
        <v>4521.17</v>
      </c>
      <c r="K86" s="177" t="d">
        <v>2021-08-17T03:42:00.0000000419095125</v>
      </c>
      <c r="L86" s="179">
        <v>4470.37</v>
      </c>
      <c r="M86" s="181">
        <f t="shared" si="40"/>
        <v>5.59</v>
      </c>
      <c r="N86" s="182">
        <f t="shared" si="41"/>
        <v>0.64</v>
      </c>
      <c r="O86" s="183">
        <f t="shared" si="42"/>
        <v>0</v>
      </c>
      <c r="P86" s="184">
        <f t="shared" si="43"/>
        <v>0.64</v>
      </c>
      <c r="Q86" s="184">
        <f t="shared" si="44"/>
        <v>0</v>
      </c>
      <c r="R8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29872.5</v>
      </c>
      <c r="T8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31055</v>
      </c>
      <c r="U86" s="186">
        <f ca="1">IF(Tabla336106734812[[#This Row],[Equity]]&lt;Tabla336106734812[[#This Row],[Equity Peak]],(Tabla336106734812[[#This Row],[Equity Peak]]-Tabla336106734812[[#This Row],[Equity]])/Tabla336106734812[[#This Row],[Equity Peak]],"")</f>
        <v>3.8077604250523263E-2</v>
      </c>
      <c r="V86" s="187">
        <f t="shared" si="45"/>
        <v>0</v>
      </c>
      <c r="W86" s="187">
        <f t="shared" si="46"/>
        <v>0</v>
      </c>
      <c r="X86" s="187">
        <f t="shared" si="47"/>
        <v>0</v>
      </c>
      <c r="Y86" s="187">
        <f t="shared" si="48"/>
        <v>0</v>
      </c>
      <c r="Z86" s="187">
        <f t="shared" si="49"/>
        <v>0.64</v>
      </c>
      <c r="AA86" s="183">
        <f t="shared" si="50"/>
        <v>0</v>
      </c>
      <c r="AB86" s="187">
        <f t="shared" si="51"/>
        <v>0</v>
      </c>
      <c r="AC86" s="183">
        <f t="shared" si="52"/>
        <v>0</v>
      </c>
      <c r="AD86" s="188">
        <f t="shared" si="53"/>
        <v>0.28958333333139308</v>
      </c>
      <c r="AE86" s="188">
        <f t="shared" si="54"/>
        <v>0.28958333333139308</v>
      </c>
      <c r="AF86" s="188">
        <f t="shared" si="55"/>
        <v>0</v>
      </c>
      <c r="AG86" s="188">
        <f t="shared" si="56"/>
        <v>0</v>
      </c>
    </row>
    <row r="87" spans="2:33" ht="15" customHeight="1" x14ac:dyDescent="0.15">
      <c r="B87" s="174" t="s">
        <v>5</v>
      </c>
      <c r="C87" s="175" t="s">
        <v>13</v>
      </c>
      <c r="D87" s="176" t="str">
        <f t="shared" si="38"/>
        <v>C</v>
      </c>
      <c r="E87" s="177" t="d">
        <v>2021-08-16T17:29:59.99999979045242400</v>
      </c>
      <c r="F87" s="178" t="s">
        <v>82</v>
      </c>
      <c r="G87" s="179">
        <v>4439.18</v>
      </c>
      <c r="H87" s="179">
        <v>4447.57</v>
      </c>
      <c r="I87" s="180">
        <f t="shared" si="39"/>
        <v>8.3899999999994179</v>
      </c>
      <c r="J87" s="179">
        <v>4384.62</v>
      </c>
      <c r="K87" s="177" t="d">
        <v>2021-08-16T18:33:59.999999734573066125</v>
      </c>
      <c r="L87" s="179">
        <v>4447.57</v>
      </c>
      <c r="M87" s="181">
        <f t="shared" si="40"/>
        <v>-8.39</v>
      </c>
      <c r="N87" s="182">
        <f t="shared" si="41"/>
        <v>-1</v>
      </c>
      <c r="O87" s="183">
        <f t="shared" si="42"/>
        <v>0</v>
      </c>
      <c r="P87" s="184">
        <f t="shared" si="43"/>
        <v>0</v>
      </c>
      <c r="Q87" s="184">
        <f t="shared" si="44"/>
        <v>-1</v>
      </c>
      <c r="R8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29712.5</v>
      </c>
      <c r="T8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31055</v>
      </c>
      <c r="U87" s="186">
        <f ca="1">IF(Tabla336106734812[[#This Row],[Equity]]&lt;Tabla336106734812[[#This Row],[Equity Peak]],(Tabla336106734812[[#This Row],[Equity Peak]]-Tabla336106734812[[#This Row],[Equity]])/Tabla336106734812[[#This Row],[Equity Peak]],"")</f>
        <v>4.3229753662856224E-2</v>
      </c>
      <c r="V87" s="187">
        <f t="shared" si="45"/>
        <v>0</v>
      </c>
      <c r="W87" s="187">
        <f t="shared" si="46"/>
        <v>0</v>
      </c>
      <c r="X87" s="187">
        <f t="shared" si="47"/>
        <v>0</v>
      </c>
      <c r="Y87" s="187">
        <f t="shared" si="48"/>
        <v>0</v>
      </c>
      <c r="Z87" s="187">
        <f t="shared" si="49"/>
        <v>-1</v>
      </c>
      <c r="AA87" s="183">
        <f t="shared" si="50"/>
        <v>0</v>
      </c>
      <c r="AB87" s="187">
        <f t="shared" si="51"/>
        <v>0</v>
      </c>
      <c r="AC87" s="183">
        <f t="shared" si="52"/>
        <v>0</v>
      </c>
      <c r="AD87" s="188">
        <f t="shared" si="53"/>
        <v>4.4444444443797693E-2</v>
      </c>
      <c r="AE87" s="188">
        <f t="shared" si="54"/>
        <v>0</v>
      </c>
      <c r="AF87" s="188">
        <f t="shared" si="55"/>
        <v>4.4444444443797693E-2</v>
      </c>
      <c r="AG87" s="188">
        <f t="shared" si="56"/>
        <v>0</v>
      </c>
    </row>
    <row r="88" spans="2:33" ht="15" customHeight="1" x14ac:dyDescent="0.15">
      <c r="B88" s="174" t="s">
        <v>5</v>
      </c>
      <c r="C88" s="175" t="s">
        <v>15</v>
      </c>
      <c r="D88" s="176" t="str">
        <f t="shared" si="38"/>
        <v>C</v>
      </c>
      <c r="E88" s="177" t="d">
        <v>2021-08-12T19:15:00.00000020954757600</v>
      </c>
      <c r="F88" s="178" t="s">
        <v>82</v>
      </c>
      <c r="G88" s="179">
        <v>4452.2299999999996</v>
      </c>
      <c r="H88" s="179">
        <v>4443.28</v>
      </c>
      <c r="I88" s="180">
        <f t="shared" si="39"/>
        <v>8.9499999999998181</v>
      </c>
      <c r="J88" s="179">
        <v>4510.3999999999996</v>
      </c>
      <c r="K88" s="177" t="d">
        <v>2021-08-16T03:08:59.99999987427145575</v>
      </c>
      <c r="L88" s="179">
        <v>4459.8100000000004</v>
      </c>
      <c r="M88" s="181">
        <f t="shared" si="40"/>
        <v>7.58</v>
      </c>
      <c r="N88" s="182">
        <f t="shared" si="41"/>
        <v>0.85</v>
      </c>
      <c r="O88" s="183">
        <f t="shared" si="42"/>
        <v>0</v>
      </c>
      <c r="P88" s="184">
        <f t="shared" si="43"/>
        <v>0.85</v>
      </c>
      <c r="Q88" s="184">
        <f t="shared" si="44"/>
        <v>0</v>
      </c>
      <c r="R8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29962.5</v>
      </c>
      <c r="T8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31055</v>
      </c>
      <c r="U88" s="186">
        <f ca="1">IF(Tabla336106734812[[#This Row],[Equity]]&lt;Tabla336106734812[[#This Row],[Equity Peak]],(Tabla336106734812[[#This Row],[Equity Peak]]-Tabla336106734812[[#This Row],[Equity]])/Tabla336106734812[[#This Row],[Equity Peak]],"")</f>
        <v>3.5179520206085974E-2</v>
      </c>
      <c r="V88" s="187">
        <f t="shared" si="45"/>
        <v>0</v>
      </c>
      <c r="W88" s="187">
        <f t="shared" si="46"/>
        <v>0</v>
      </c>
      <c r="X88" s="187">
        <f t="shared" si="47"/>
        <v>0</v>
      </c>
      <c r="Y88" s="187">
        <f t="shared" si="48"/>
        <v>0</v>
      </c>
      <c r="Z88" s="187">
        <f t="shared" si="49"/>
        <v>0.85</v>
      </c>
      <c r="AA88" s="183">
        <f t="shared" si="50"/>
        <v>0</v>
      </c>
      <c r="AB88" s="187">
        <f t="shared" si="51"/>
        <v>0</v>
      </c>
      <c r="AC88" s="183">
        <f t="shared" si="52"/>
        <v>0</v>
      </c>
      <c r="AD88" s="188">
        <f t="shared" si="53"/>
        <v>3.3291666666627862</v>
      </c>
      <c r="AE88" s="188">
        <f t="shared" si="54"/>
        <v>3.3291666666627862</v>
      </c>
      <c r="AF88" s="188">
        <f t="shared" si="55"/>
        <v>0</v>
      </c>
      <c r="AG88" s="188">
        <f t="shared" si="56"/>
        <v>0</v>
      </c>
    </row>
    <row r="89" spans="2:33" ht="15" customHeight="1" x14ac:dyDescent="0.15">
      <c r="B89" s="174" t="s">
        <v>5</v>
      </c>
      <c r="C89" s="175" t="s">
        <v>15</v>
      </c>
      <c r="D89" s="176" t="str">
        <f t="shared" si="38"/>
        <v>C</v>
      </c>
      <c r="E89" s="177" t="d">
        <v>2021-08-12T13:44:59.99999979045242400</v>
      </c>
      <c r="F89" s="178" t="s">
        <v>82</v>
      </c>
      <c r="G89" s="179">
        <v>4448.79</v>
      </c>
      <c r="H89" s="179">
        <v>4440.1899999999996</v>
      </c>
      <c r="I89" s="180">
        <f t="shared" si="39"/>
        <v>8.6000000000003638</v>
      </c>
      <c r="J89" s="179">
        <v>4504.71</v>
      </c>
      <c r="K89" s="177" t="d">
        <v>2021-08-12T16:37:00.00000011175870900</v>
      </c>
      <c r="L89" s="179">
        <v>4440.1899999999996</v>
      </c>
      <c r="M89" s="181">
        <f t="shared" si="40"/>
        <v>-8.6</v>
      </c>
      <c r="N89" s="182">
        <f t="shared" si="41"/>
        <v>-1</v>
      </c>
      <c r="O89" s="183">
        <f t="shared" si="42"/>
        <v>0</v>
      </c>
      <c r="P89" s="184">
        <f t="shared" si="43"/>
        <v>0</v>
      </c>
      <c r="Q89" s="184">
        <f t="shared" si="44"/>
        <v>-1</v>
      </c>
      <c r="R8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8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29750</v>
      </c>
      <c r="T8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31055</v>
      </c>
      <c r="U89" s="186">
        <f ca="1">IF(Tabla336106734812[[#This Row],[Equity]]&lt;Tabla336106734812[[#This Row],[Equity Peak]],(Tabla336106734812[[#This Row],[Equity Peak]]-Tabla336106734812[[#This Row],[Equity]])/Tabla336106734812[[#This Row],[Equity Peak]],"")</f>
        <v>4.2022218644340685E-2</v>
      </c>
      <c r="V89" s="187">
        <f t="shared" si="45"/>
        <v>0</v>
      </c>
      <c r="W89" s="187">
        <f t="shared" si="46"/>
        <v>0</v>
      </c>
      <c r="X89" s="187">
        <f t="shared" si="47"/>
        <v>0</v>
      </c>
      <c r="Y89" s="187">
        <f t="shared" si="48"/>
        <v>0</v>
      </c>
      <c r="Z89" s="187">
        <f t="shared" si="49"/>
        <v>-1</v>
      </c>
      <c r="AA89" s="183">
        <f t="shared" si="50"/>
        <v>0</v>
      </c>
      <c r="AB89" s="187">
        <f t="shared" si="51"/>
        <v>0</v>
      </c>
      <c r="AC89" s="183">
        <f t="shared" si="52"/>
        <v>0</v>
      </c>
      <c r="AD89" s="188">
        <f t="shared" si="53"/>
        <v>0.11944444444816327</v>
      </c>
      <c r="AE89" s="188">
        <f t="shared" si="54"/>
        <v>0</v>
      </c>
      <c r="AF89" s="188">
        <f t="shared" si="55"/>
        <v>0.11944444444816327</v>
      </c>
      <c r="AG89" s="188">
        <f t="shared" si="56"/>
        <v>0</v>
      </c>
    </row>
    <row r="90" spans="2:33" ht="15" customHeight="1" x14ac:dyDescent="0.15">
      <c r="B90" s="174" t="s">
        <v>5</v>
      </c>
      <c r="C90" s="175" t="s">
        <v>15</v>
      </c>
      <c r="D90" s="176" t="str">
        <f t="shared" si="38"/>
        <v>C</v>
      </c>
      <c r="E90" s="177" t="d">
        <v>2021-08-11T15:45:00.000</v>
      </c>
      <c r="F90" s="178" t="s">
        <v>82</v>
      </c>
      <c r="G90" s="179">
        <v>4444.3900000000003</v>
      </c>
      <c r="H90" s="179">
        <v>4435.33</v>
      </c>
      <c r="I90" s="180">
        <f t="shared" si="39"/>
        <v>9.0600000000004002</v>
      </c>
      <c r="J90" s="179">
        <v>4503.28</v>
      </c>
      <c r="K90" s="177" t="d">
        <v>2021-08-11T18:08:59.99999987427145575</v>
      </c>
      <c r="L90" s="179">
        <v>4439.1499999999996</v>
      </c>
      <c r="M90" s="181">
        <f t="shared" si="40"/>
        <v>-5.24</v>
      </c>
      <c r="N90" s="182">
        <f t="shared" si="41"/>
        <v>-0.57999999999999996</v>
      </c>
      <c r="O90" s="183">
        <f t="shared" si="42"/>
        <v>0</v>
      </c>
      <c r="P90" s="184">
        <f t="shared" si="43"/>
        <v>0</v>
      </c>
      <c r="Q90" s="184">
        <f t="shared" si="44"/>
        <v>-0.57999999999999996</v>
      </c>
      <c r="R9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30000</v>
      </c>
      <c r="T9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31055</v>
      </c>
      <c r="U90" s="186">
        <f ca="1">IF(Tabla336106734812[[#This Row],[Equity]]&lt;Tabla336106734812[[#This Row],[Equity Peak]],(Tabla336106734812[[#This Row],[Equity Peak]]-Tabla336106734812[[#This Row],[Equity]])/Tabla336106734812[[#This Row],[Equity Peak]],"")</f>
        <v>3.3971985187570442E-2</v>
      </c>
      <c r="V90" s="187">
        <f t="shared" si="45"/>
        <v>0</v>
      </c>
      <c r="W90" s="187">
        <f t="shared" si="46"/>
        <v>0</v>
      </c>
      <c r="X90" s="187">
        <f t="shared" si="47"/>
        <v>0</v>
      </c>
      <c r="Y90" s="187">
        <f t="shared" si="48"/>
        <v>0</v>
      </c>
      <c r="Z90" s="187">
        <f t="shared" si="49"/>
        <v>-0.57999999999999996</v>
      </c>
      <c r="AA90" s="183">
        <f t="shared" si="50"/>
        <v>0</v>
      </c>
      <c r="AB90" s="187">
        <f t="shared" si="51"/>
        <v>0</v>
      </c>
      <c r="AC90" s="183">
        <f t="shared" si="52"/>
        <v>0</v>
      </c>
      <c r="AD90" s="188">
        <f t="shared" si="53"/>
        <v>9.9999999998544808E-2</v>
      </c>
      <c r="AE90" s="188">
        <f t="shared" si="54"/>
        <v>0</v>
      </c>
      <c r="AF90" s="188">
        <f t="shared" si="55"/>
        <v>9.9999999998544808E-2</v>
      </c>
      <c r="AG90" s="188">
        <f t="shared" si="56"/>
        <v>0</v>
      </c>
    </row>
    <row r="91" spans="2:33" ht="15" customHeight="1" x14ac:dyDescent="0.15">
      <c r="B91" s="174" t="s">
        <v>5</v>
      </c>
      <c r="C91" s="175" t="s">
        <v>15</v>
      </c>
      <c r="D91" s="176" t="str">
        <f t="shared" si="38"/>
        <v>C</v>
      </c>
      <c r="E91" s="177" t="d">
        <v>2021-08-10T16:15:00.00000020954757600</v>
      </c>
      <c r="F91" s="178" t="s">
        <v>82</v>
      </c>
      <c r="G91" s="179">
        <v>4435.2</v>
      </c>
      <c r="H91" s="179">
        <v>4425.75</v>
      </c>
      <c r="I91" s="180">
        <f t="shared" si="39"/>
        <v>9.4499999999998181</v>
      </c>
      <c r="J91" s="179">
        <v>4496.6499999999996</v>
      </c>
      <c r="K91" s="177" t="d">
        <v>2021-08-10T17:36:59.99999990221113300</v>
      </c>
      <c r="L91" s="179">
        <v>4433.47</v>
      </c>
      <c r="M91" s="181">
        <f t="shared" si="40"/>
        <v>-1.73</v>
      </c>
      <c r="N91" s="182">
        <f t="shared" si="41"/>
        <v>-0.18</v>
      </c>
      <c r="O91" s="183">
        <f t="shared" si="42"/>
        <v>0</v>
      </c>
      <c r="P91" s="184">
        <f t="shared" si="43"/>
        <v>0</v>
      </c>
      <c r="Q91" s="184">
        <f t="shared" si="44"/>
        <v>-0.18</v>
      </c>
      <c r="R9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30145</v>
      </c>
      <c r="T9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31055</v>
      </c>
      <c r="U91" s="186">
        <f ca="1">IF(Tabla336106734812[[#This Row],[Equity]]&lt;Tabla336106734812[[#This Row],[Equity Peak]],(Tabla336106734812[[#This Row],[Equity Peak]]-Tabla336106734812[[#This Row],[Equity]])/Tabla336106734812[[#This Row],[Equity Peak]],"")</f>
        <v>2.9302849782643695E-2</v>
      </c>
      <c r="V91" s="187">
        <f t="shared" si="45"/>
        <v>0</v>
      </c>
      <c r="W91" s="187">
        <f t="shared" si="46"/>
        <v>0</v>
      </c>
      <c r="X91" s="187">
        <f t="shared" si="47"/>
        <v>0</v>
      </c>
      <c r="Y91" s="187">
        <f t="shared" si="48"/>
        <v>0</v>
      </c>
      <c r="Z91" s="187">
        <f t="shared" si="49"/>
        <v>-0.18</v>
      </c>
      <c r="AA91" s="183">
        <f t="shared" si="50"/>
        <v>0</v>
      </c>
      <c r="AB91" s="187">
        <f t="shared" si="51"/>
        <v>0</v>
      </c>
      <c r="AC91" s="183">
        <f t="shared" si="52"/>
        <v>0</v>
      </c>
      <c r="AD91" s="188">
        <f t="shared" si="53"/>
        <v>5.694444444088731E-2</v>
      </c>
      <c r="AE91" s="188">
        <f t="shared" si="54"/>
        <v>0</v>
      </c>
      <c r="AF91" s="188">
        <f t="shared" si="55"/>
        <v>5.694444444088731E-2</v>
      </c>
      <c r="AG91" s="188">
        <f t="shared" si="56"/>
        <v>0</v>
      </c>
    </row>
    <row r="92" spans="2:33" ht="15" customHeight="1" x14ac:dyDescent="0.15">
      <c r="B92" s="174" t="s">
        <v>5</v>
      </c>
      <c r="C92" s="175" t="s">
        <v>15</v>
      </c>
      <c r="D92" s="176" t="str">
        <f t="shared" si="38"/>
        <v>C</v>
      </c>
      <c r="E92" s="177" t="d">
        <v>2021-08-09T16:30:00.000</v>
      </c>
      <c r="F92" s="178" t="s">
        <v>82</v>
      </c>
      <c r="G92" s="179">
        <v>4435.2700000000004</v>
      </c>
      <c r="H92" s="179">
        <v>4424.3500000000004</v>
      </c>
      <c r="I92" s="180">
        <f t="shared" si="39"/>
        <v>10.920000000000073</v>
      </c>
      <c r="J92" s="179">
        <v>4506.22</v>
      </c>
      <c r="K92" s="177" t="d">
        <v>2021-08-09T16:38:59.99999987427145575</v>
      </c>
      <c r="L92" s="179">
        <v>4424.3500000000004</v>
      </c>
      <c r="M92" s="181">
        <f t="shared" si="40"/>
        <v>-10.92</v>
      </c>
      <c r="N92" s="182">
        <f t="shared" si="41"/>
        <v>-1</v>
      </c>
      <c r="O92" s="183">
        <f t="shared" si="42"/>
        <v>0</v>
      </c>
      <c r="P92" s="184">
        <f t="shared" si="43"/>
        <v>0</v>
      </c>
      <c r="Q92" s="184">
        <f t="shared" si="44"/>
        <v>-1</v>
      </c>
      <c r="R9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30190</v>
      </c>
      <c r="T9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31055</v>
      </c>
      <c r="U92" s="186">
        <f ca="1">IF(Tabla336106734812[[#This Row],[Equity]]&lt;Tabla336106734812[[#This Row],[Equity Peak]],(Tabla336106734812[[#This Row],[Equity Peak]]-Tabla336106734812[[#This Row],[Equity]])/Tabla336106734812[[#This Row],[Equity Peak]],"")</f>
        <v>2.7853807760425054E-2</v>
      </c>
      <c r="V92" s="187">
        <f t="shared" si="45"/>
        <v>0</v>
      </c>
      <c r="W92" s="187">
        <f t="shared" si="46"/>
        <v>0</v>
      </c>
      <c r="X92" s="187">
        <f t="shared" si="47"/>
        <v>0</v>
      </c>
      <c r="Y92" s="187">
        <f t="shared" si="48"/>
        <v>0</v>
      </c>
      <c r="Z92" s="187">
        <f t="shared" si="49"/>
        <v>-1</v>
      </c>
      <c r="AA92" s="183">
        <f t="shared" si="50"/>
        <v>0</v>
      </c>
      <c r="AB92" s="187">
        <f t="shared" si="51"/>
        <v>0</v>
      </c>
      <c r="AC92" s="183">
        <f t="shared" si="52"/>
        <v>0</v>
      </c>
      <c r="AD92" s="188">
        <f t="shared" si="53"/>
        <v>6.2499999985448085E-3</v>
      </c>
      <c r="AE92" s="188">
        <f t="shared" si="54"/>
        <v>0</v>
      </c>
      <c r="AF92" s="188">
        <f t="shared" si="55"/>
        <v>6.2499999985448085E-3</v>
      </c>
      <c r="AG92" s="188">
        <f t="shared" si="56"/>
        <v>0</v>
      </c>
    </row>
    <row r="93" spans="2:33" ht="15" customHeight="1" x14ac:dyDescent="0.15">
      <c r="B93" s="174" t="s">
        <v>5</v>
      </c>
      <c r="C93" s="175" t="s">
        <v>15</v>
      </c>
      <c r="D93" s="176" t="str">
        <f t="shared" si="38"/>
        <v>C</v>
      </c>
      <c r="E93" s="177" t="d">
        <v>2021-08-05T12:59:59.99999979045242400</v>
      </c>
      <c r="F93" s="178" t="s">
        <v>82</v>
      </c>
      <c r="G93" s="179">
        <v>4415.16</v>
      </c>
      <c r="H93" s="179">
        <v>4401.2299999999996</v>
      </c>
      <c r="I93" s="180">
        <f t="shared" si="39"/>
        <v>13.930000000000291</v>
      </c>
      <c r="J93" s="179">
        <v>4505.71</v>
      </c>
      <c r="K93" s="177" t="d">
        <v>2021-08-09T02:06:59.99999969266355025</v>
      </c>
      <c r="L93" s="179">
        <v>4426.25</v>
      </c>
      <c r="M93" s="181">
        <f t="shared" si="40"/>
        <v>11.09</v>
      </c>
      <c r="N93" s="182">
        <f t="shared" si="41"/>
        <v>0.8</v>
      </c>
      <c r="O93" s="183">
        <f t="shared" si="42"/>
        <v>0</v>
      </c>
      <c r="P93" s="184">
        <f t="shared" si="43"/>
        <v>0.8</v>
      </c>
      <c r="Q93" s="184">
        <f t="shared" si="44"/>
        <v>0</v>
      </c>
      <c r="R9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30440</v>
      </c>
      <c r="T9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31055</v>
      </c>
      <c r="U93" s="186">
        <f ca="1">IF(Tabla336106734812[[#This Row],[Equity]]&lt;Tabla336106734812[[#This Row],[Equity Peak]],(Tabla336106734812[[#This Row],[Equity Peak]]-Tabla336106734812[[#This Row],[Equity]])/Tabla336106734812[[#This Row],[Equity Peak]],"")</f>
        <v>1.9803574303654807E-2</v>
      </c>
      <c r="V93" s="187">
        <f t="shared" si="45"/>
        <v>0</v>
      </c>
      <c r="W93" s="187">
        <f t="shared" si="46"/>
        <v>0</v>
      </c>
      <c r="X93" s="187">
        <f t="shared" si="47"/>
        <v>0</v>
      </c>
      <c r="Y93" s="187">
        <f t="shared" si="48"/>
        <v>0</v>
      </c>
      <c r="Z93" s="187">
        <f t="shared" si="49"/>
        <v>0.8</v>
      </c>
      <c r="AA93" s="183">
        <f t="shared" si="50"/>
        <v>0</v>
      </c>
      <c r="AB93" s="187">
        <f t="shared" si="51"/>
        <v>0</v>
      </c>
      <c r="AC93" s="183">
        <f t="shared" si="52"/>
        <v>0</v>
      </c>
      <c r="AD93" s="188">
        <f t="shared" si="53"/>
        <v>3.546527777776646</v>
      </c>
      <c r="AE93" s="188">
        <f t="shared" si="54"/>
        <v>3.546527777776646</v>
      </c>
      <c r="AF93" s="188">
        <f t="shared" si="55"/>
        <v>0</v>
      </c>
      <c r="AG93" s="188">
        <f t="shared" si="56"/>
        <v>0</v>
      </c>
    </row>
    <row r="94" spans="2:33" ht="15" customHeight="1" x14ac:dyDescent="0.15">
      <c r="B94" s="174" t="s">
        <v>5</v>
      </c>
      <c r="C94" s="175" t="s">
        <v>15</v>
      </c>
      <c r="D94" s="176" t="str">
        <f t="shared" si="38"/>
        <v>C</v>
      </c>
      <c r="E94" s="177" t="d">
        <v>2021-08-03T18:45:00.000</v>
      </c>
      <c r="F94" s="178" t="s">
        <v>82</v>
      </c>
      <c r="G94" s="179">
        <v>4407.1000000000004</v>
      </c>
      <c r="H94" s="179">
        <v>4391.55</v>
      </c>
      <c r="I94" s="180">
        <f t="shared" si="39"/>
        <v>15.550000000000182</v>
      </c>
      <c r="J94" s="179">
        <v>4508.16</v>
      </c>
      <c r="K94" s="177" t="d">
        <v>2021-08-04T15:52:00.00000011175870900</v>
      </c>
      <c r="L94" s="179">
        <v>4407.26</v>
      </c>
      <c r="M94" s="181">
        <f t="shared" si="40"/>
        <v>0.16</v>
      </c>
      <c r="N94" s="182">
        <f t="shared" si="41"/>
        <v>0.01</v>
      </c>
      <c r="O94" s="183">
        <f t="shared" si="42"/>
        <v>0</v>
      </c>
      <c r="P94" s="184">
        <f t="shared" si="43"/>
        <v>0.01</v>
      </c>
      <c r="Q94" s="184">
        <f t="shared" si="44"/>
        <v>0</v>
      </c>
      <c r="R9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30240</v>
      </c>
      <c r="T9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31055</v>
      </c>
      <c r="U94" s="186">
        <f ca="1">IF(Tabla336106734812[[#This Row],[Equity]]&lt;Tabla336106734812[[#This Row],[Equity Peak]],(Tabla336106734812[[#This Row],[Equity Peak]]-Tabla336106734812[[#This Row],[Equity]])/Tabla336106734812[[#This Row],[Equity Peak]],"")</f>
        <v>2.6243761069071003E-2</v>
      </c>
      <c r="V94" s="187">
        <f t="shared" si="45"/>
        <v>0</v>
      </c>
      <c r="W94" s="187">
        <f t="shared" si="46"/>
        <v>0</v>
      </c>
      <c r="X94" s="187">
        <f t="shared" si="47"/>
        <v>0</v>
      </c>
      <c r="Y94" s="187">
        <f t="shared" si="48"/>
        <v>0</v>
      </c>
      <c r="Z94" s="187">
        <f t="shared" si="49"/>
        <v>0.01</v>
      </c>
      <c r="AA94" s="183">
        <f t="shared" si="50"/>
        <v>0</v>
      </c>
      <c r="AB94" s="187">
        <f t="shared" si="51"/>
        <v>0</v>
      </c>
      <c r="AC94" s="183">
        <f t="shared" si="52"/>
        <v>0</v>
      </c>
      <c r="AD94" s="188">
        <f t="shared" si="53"/>
        <v>0.87986111111240461</v>
      </c>
      <c r="AE94" s="188">
        <f t="shared" si="54"/>
        <v>0.87986111111240461</v>
      </c>
      <c r="AF94" s="188">
        <f t="shared" si="55"/>
        <v>0</v>
      </c>
      <c r="AG94" s="188">
        <f t="shared" si="56"/>
        <v>0</v>
      </c>
    </row>
    <row r="95" spans="2:33" ht="15" customHeight="1" x14ac:dyDescent="0.15">
      <c r="B95" s="174" t="s">
        <v>5</v>
      </c>
      <c r="C95" s="175" t="s">
        <v>13</v>
      </c>
      <c r="D95" s="176" t="str">
        <f t="shared" si="38"/>
        <v>C</v>
      </c>
      <c r="E95" s="177" t="d">
        <v>2021-08-03T16:44:59.99999979045242400</v>
      </c>
      <c r="F95" s="178" t="s">
        <v>82</v>
      </c>
      <c r="G95" s="179">
        <v>4386.47</v>
      </c>
      <c r="H95" s="179">
        <v>4401.51</v>
      </c>
      <c r="I95" s="180">
        <f t="shared" si="39"/>
        <v>15.039999999999964</v>
      </c>
      <c r="J95" s="179">
        <v>4288.7</v>
      </c>
      <c r="K95" s="177" t="d">
        <v>2021-08-03T17:23:59.99999987427145575</v>
      </c>
      <c r="L95" s="179">
        <v>4390.25</v>
      </c>
      <c r="M95" s="181">
        <f t="shared" si="40"/>
        <v>-3.78</v>
      </c>
      <c r="N95" s="182">
        <f t="shared" si="41"/>
        <v>-0.25</v>
      </c>
      <c r="O95" s="183">
        <f t="shared" si="42"/>
        <v>0</v>
      </c>
      <c r="P95" s="184">
        <f t="shared" si="43"/>
        <v>0</v>
      </c>
      <c r="Q95" s="184">
        <f t="shared" si="44"/>
        <v>-0.25</v>
      </c>
      <c r="R9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30237.5</v>
      </c>
      <c r="T9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31055</v>
      </c>
      <c r="U95" s="186">
        <f ca="1">IF(Tabla336106734812[[#This Row],[Equity]]&lt;Tabla336106734812[[#This Row],[Equity Peak]],(Tabla336106734812[[#This Row],[Equity Peak]]-Tabla336106734812[[#This Row],[Equity]])/Tabla336106734812[[#This Row],[Equity Peak]],"")</f>
        <v>2.6324263403638706E-2</v>
      </c>
      <c r="V95" s="187">
        <f t="shared" si="45"/>
        <v>0</v>
      </c>
      <c r="W95" s="187">
        <f t="shared" si="46"/>
        <v>0</v>
      </c>
      <c r="X95" s="187">
        <f t="shared" si="47"/>
        <v>0</v>
      </c>
      <c r="Y95" s="187">
        <f t="shared" si="48"/>
        <v>0</v>
      </c>
      <c r="Z95" s="187">
        <f t="shared" si="49"/>
        <v>-0.25</v>
      </c>
      <c r="AA95" s="183">
        <f t="shared" si="50"/>
        <v>0</v>
      </c>
      <c r="AB95" s="187">
        <f t="shared" si="51"/>
        <v>0</v>
      </c>
      <c r="AC95" s="183">
        <f t="shared" si="52"/>
        <v>0</v>
      </c>
      <c r="AD95" s="188">
        <f t="shared" si="53"/>
        <v>2.7083333334303461E-2</v>
      </c>
      <c r="AE95" s="188">
        <f t="shared" si="54"/>
        <v>0</v>
      </c>
      <c r="AF95" s="188">
        <f t="shared" si="55"/>
        <v>2.7083333334303461E-2</v>
      </c>
      <c r="AG95" s="188">
        <f t="shared" si="56"/>
        <v>0</v>
      </c>
    </row>
    <row r="96" spans="2:33" ht="15" customHeight="1" x14ac:dyDescent="0.15">
      <c r="B96" s="174" t="s">
        <v>5</v>
      </c>
      <c r="C96" s="175" t="s">
        <v>13</v>
      </c>
      <c r="D96" s="176" t="str">
        <f t="shared" si="38"/>
        <v>C</v>
      </c>
      <c r="E96" s="177" t="d">
        <v>2021-08-02T22:30:00.000</v>
      </c>
      <c r="F96" s="178" t="s">
        <v>82</v>
      </c>
      <c r="G96" s="179">
        <v>4392.71</v>
      </c>
      <c r="H96" s="179">
        <v>4409.6000000000004</v>
      </c>
      <c r="I96" s="180">
        <f t="shared" si="39"/>
        <v>16.890000000000327</v>
      </c>
      <c r="J96" s="179">
        <v>4282.8999999999996</v>
      </c>
      <c r="K96" s="177" t="d">
        <v>2021-08-03T10:38:59.99999987427145575</v>
      </c>
      <c r="L96" s="179">
        <v>4403.76</v>
      </c>
      <c r="M96" s="181">
        <f t="shared" si="40"/>
        <v>-11.05</v>
      </c>
      <c r="N96" s="182">
        <f t="shared" si="41"/>
        <v>-0.65</v>
      </c>
      <c r="O96" s="183">
        <f t="shared" si="42"/>
        <v>0</v>
      </c>
      <c r="P96" s="184">
        <f t="shared" si="43"/>
        <v>0</v>
      </c>
      <c r="Q96" s="184">
        <f t="shared" si="44"/>
        <v>-0.65</v>
      </c>
      <c r="R9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30300</v>
      </c>
      <c r="T9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31055</v>
      </c>
      <c r="U96" s="186">
        <f ca="1">IF(Tabla336106734812[[#This Row],[Equity]]&lt;Tabla336106734812[[#This Row],[Equity Peak]],(Tabla336106734812[[#This Row],[Equity Peak]]-Tabla336106734812[[#This Row],[Equity]])/Tabla336106734812[[#This Row],[Equity Peak]],"")</f>
        <v>2.4311705039446144E-2</v>
      </c>
      <c r="V96" s="187">
        <f t="shared" si="45"/>
        <v>0</v>
      </c>
      <c r="W96" s="187">
        <f t="shared" si="46"/>
        <v>0</v>
      </c>
      <c r="X96" s="187">
        <f t="shared" si="47"/>
        <v>0</v>
      </c>
      <c r="Y96" s="187">
        <f t="shared" si="48"/>
        <v>0</v>
      </c>
      <c r="Z96" s="187">
        <f t="shared" si="49"/>
        <v>-0.65</v>
      </c>
      <c r="AA96" s="183">
        <f t="shared" si="50"/>
        <v>0</v>
      </c>
      <c r="AB96" s="187">
        <f t="shared" si="51"/>
        <v>0</v>
      </c>
      <c r="AC96" s="183">
        <f t="shared" si="52"/>
        <v>0</v>
      </c>
      <c r="AD96" s="188">
        <f t="shared" si="53"/>
        <v>0.50624999999854481</v>
      </c>
      <c r="AE96" s="188">
        <f t="shared" si="54"/>
        <v>0</v>
      </c>
      <c r="AF96" s="188">
        <f t="shared" si="55"/>
        <v>0.50624999999854481</v>
      </c>
      <c r="AG96" s="188">
        <f t="shared" si="56"/>
        <v>0</v>
      </c>
    </row>
    <row r="97" spans="2:33" ht="15" customHeight="1" x14ac:dyDescent="0.15">
      <c r="B97" s="174" t="s">
        <v>5</v>
      </c>
      <c r="C97" s="175" t="s">
        <v>15</v>
      </c>
      <c r="D97" s="176" t="str">
        <f t="shared" si="38"/>
        <v>C</v>
      </c>
      <c r="E97" s="177" t="d">
        <v>2021-08-02T01:44:59.99999979045242400</v>
      </c>
      <c r="F97" s="178" t="s">
        <v>82</v>
      </c>
      <c r="G97" s="179">
        <v>4415.76</v>
      </c>
      <c r="H97" s="179">
        <v>4399.45</v>
      </c>
      <c r="I97" s="180">
        <f t="shared" si="39"/>
        <v>16.3100000000004</v>
      </c>
      <c r="J97" s="179">
        <v>4521.78</v>
      </c>
      <c r="K97" s="177" t="d">
        <v>2021-08-02T14:03:59.999999734573066125</v>
      </c>
      <c r="L97" s="179">
        <v>4409.2</v>
      </c>
      <c r="M97" s="181">
        <f t="shared" si="40"/>
        <v>-6.56</v>
      </c>
      <c r="N97" s="182">
        <f t="shared" si="41"/>
        <v>-0.4</v>
      </c>
      <c r="O97" s="183">
        <f t="shared" si="42"/>
        <v>0</v>
      </c>
      <c r="P97" s="184">
        <f t="shared" si="43"/>
        <v>0</v>
      </c>
      <c r="Q97" s="184">
        <f t="shared" si="44"/>
        <v>-0.4</v>
      </c>
      <c r="R9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30462.5</v>
      </c>
      <c r="T9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31055</v>
      </c>
      <c r="U97" s="186">
        <f ca="1">IF(Tabla336106734812[[#This Row],[Equity]]&lt;Tabla336106734812[[#This Row],[Equity Peak]],(Tabla336106734812[[#This Row],[Equity Peak]]-Tabla336106734812[[#This Row],[Equity]])/Tabla336106734812[[#This Row],[Equity Peak]],"")</f>
        <v>1.9079053292545483E-2</v>
      </c>
      <c r="V97" s="187">
        <f t="shared" si="45"/>
        <v>0</v>
      </c>
      <c r="W97" s="187">
        <f t="shared" si="46"/>
        <v>0</v>
      </c>
      <c r="X97" s="187">
        <f t="shared" si="47"/>
        <v>0</v>
      </c>
      <c r="Y97" s="187">
        <f t="shared" si="48"/>
        <v>0</v>
      </c>
      <c r="Z97" s="187">
        <f t="shared" si="49"/>
        <v>-0.4</v>
      </c>
      <c r="AA97" s="183">
        <f t="shared" si="50"/>
        <v>0</v>
      </c>
      <c r="AB97" s="187">
        <f t="shared" si="51"/>
        <v>0</v>
      </c>
      <c r="AC97" s="183">
        <f t="shared" si="52"/>
        <v>0</v>
      </c>
      <c r="AD97" s="188">
        <f t="shared" si="53"/>
        <v>0.51319444444379769</v>
      </c>
      <c r="AE97" s="188">
        <f t="shared" si="54"/>
        <v>0</v>
      </c>
      <c r="AF97" s="188">
        <f t="shared" si="55"/>
        <v>0.51319444444379769</v>
      </c>
      <c r="AG97" s="188">
        <f t="shared" si="56"/>
        <v>0</v>
      </c>
    </row>
    <row r="98" spans="2:33" ht="15" customHeight="1" x14ac:dyDescent="0.15">
      <c r="B98" s="174" t="s">
        <v>5</v>
      </c>
      <c r="C98" s="175" t="s">
        <v>15</v>
      </c>
      <c r="D98" s="176" t="str">
        <f t="shared" si="38"/>
        <v>C</v>
      </c>
      <c r="E98" s="177" t="d">
        <v>2021-07-30T17:00:00.00000020954757600</v>
      </c>
      <c r="F98" s="178" t="s">
        <v>82</v>
      </c>
      <c r="G98" s="179">
        <v>4405.96</v>
      </c>
      <c r="H98" s="179">
        <v>4390.18</v>
      </c>
      <c r="I98" s="180">
        <f t="shared" si="39"/>
        <v>15.779999999999745</v>
      </c>
      <c r="J98" s="179">
        <v>4508.5200000000004</v>
      </c>
      <c r="K98" s="177" t="d">
        <v>2021-07-30T18:00:00.000</v>
      </c>
      <c r="L98" s="179">
        <v>4394.4399999999996</v>
      </c>
      <c r="M98" s="181">
        <f t="shared" si="40"/>
        <v>-11.52</v>
      </c>
      <c r="N98" s="182">
        <f t="shared" si="41"/>
        <v>-0.73</v>
      </c>
      <c r="O98" s="183">
        <f t="shared" si="42"/>
        <v>0</v>
      </c>
      <c r="P98" s="184">
        <f t="shared" si="43"/>
        <v>0</v>
      </c>
      <c r="Q98" s="184">
        <f t="shared" si="44"/>
        <v>-0.73</v>
      </c>
      <c r="R9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30562.5</v>
      </c>
      <c r="T9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31055</v>
      </c>
      <c r="U98" s="186">
        <f ca="1">IF(Tabla336106734812[[#This Row],[Equity]]&lt;Tabla336106734812[[#This Row],[Equity Peak]],(Tabla336106734812[[#This Row],[Equity Peak]]-Tabla336106734812[[#This Row],[Equity]])/Tabla336106734812[[#This Row],[Equity Peak]],"")</f>
        <v>1.5858959909837385E-2</v>
      </c>
      <c r="V98" s="187">
        <f t="shared" si="45"/>
        <v>0</v>
      </c>
      <c r="W98" s="187">
        <f t="shared" si="46"/>
        <v>0</v>
      </c>
      <c r="X98" s="187">
        <f t="shared" si="47"/>
        <v>0</v>
      </c>
      <c r="Y98" s="187">
        <f t="shared" si="48"/>
        <v>0</v>
      </c>
      <c r="Z98" s="187">
        <f t="shared" si="49"/>
        <v>-0.73</v>
      </c>
      <c r="AA98" s="183">
        <f t="shared" si="50"/>
        <v>0</v>
      </c>
      <c r="AB98" s="187">
        <f t="shared" si="51"/>
        <v>0</v>
      </c>
      <c r="AC98" s="183">
        <f t="shared" si="52"/>
        <v>0</v>
      </c>
      <c r="AD98" s="188">
        <f t="shared" si="53"/>
        <v>4.1666666664241347E-2</v>
      </c>
      <c r="AE98" s="188">
        <f t="shared" si="54"/>
        <v>0</v>
      </c>
      <c r="AF98" s="188">
        <f t="shared" si="55"/>
        <v>4.1666666664241347E-2</v>
      </c>
      <c r="AG98" s="188">
        <f t="shared" si="56"/>
        <v>0</v>
      </c>
    </row>
    <row r="99" spans="2:33" ht="15" customHeight="1" x14ac:dyDescent="0.15">
      <c r="B99" s="174" t="s">
        <v>5</v>
      </c>
      <c r="C99" s="175" t="s">
        <v>13</v>
      </c>
      <c r="D99" s="176" t="str">
        <f t="shared" si="38"/>
        <v>C</v>
      </c>
      <c r="E99" s="177" t="d">
        <v>2021-07-30T03:59:59.99999979045242400</v>
      </c>
      <c r="F99" s="178" t="s">
        <v>82</v>
      </c>
      <c r="G99" s="179">
        <v>4385.91</v>
      </c>
      <c r="H99" s="179">
        <v>4401.33</v>
      </c>
      <c r="I99" s="180">
        <f t="shared" si="39"/>
        <v>15.420000000000073</v>
      </c>
      <c r="J99" s="179">
        <v>4285.67</v>
      </c>
      <c r="K99" s="177" t="d">
        <v>2021-07-30T11:36:59.99999990221113300</v>
      </c>
      <c r="L99" s="179">
        <v>4393.3</v>
      </c>
      <c r="M99" s="181">
        <f t="shared" si="40"/>
        <v>-7.39</v>
      </c>
      <c r="N99" s="182">
        <f t="shared" si="41"/>
        <v>-0.48</v>
      </c>
      <c r="O99" s="183">
        <f t="shared" si="42"/>
        <v>0</v>
      </c>
      <c r="P99" s="184">
        <f t="shared" si="43"/>
        <v>0</v>
      </c>
      <c r="Q99" s="184">
        <f t="shared" si="44"/>
        <v>-0.48</v>
      </c>
      <c r="R9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9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30745</v>
      </c>
      <c r="T9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31055</v>
      </c>
      <c r="U99" s="186">
        <f ca="1">IF(Tabla336106734812[[#This Row],[Equity]]&lt;Tabla336106734812[[#This Row],[Equity Peak]],(Tabla336106734812[[#This Row],[Equity Peak]]-Tabla336106734812[[#This Row],[Equity]])/Tabla336106734812[[#This Row],[Equity Peak]],"")</f>
        <v>9.9822894863951048E-3</v>
      </c>
      <c r="V99" s="187">
        <f t="shared" si="45"/>
        <v>0</v>
      </c>
      <c r="W99" s="187">
        <f t="shared" si="46"/>
        <v>0</v>
      </c>
      <c r="X99" s="187">
        <f t="shared" si="47"/>
        <v>0</v>
      </c>
      <c r="Y99" s="187">
        <f t="shared" si="48"/>
        <v>0</v>
      </c>
      <c r="Z99" s="187">
        <f t="shared" si="49"/>
        <v>-0.48</v>
      </c>
      <c r="AA99" s="183">
        <f t="shared" si="50"/>
        <v>0</v>
      </c>
      <c r="AB99" s="187">
        <f t="shared" si="51"/>
        <v>0</v>
      </c>
      <c r="AC99" s="183">
        <f t="shared" si="52"/>
        <v>0</v>
      </c>
      <c r="AD99" s="188">
        <f t="shared" si="53"/>
        <v>0.31736111111240461</v>
      </c>
      <c r="AE99" s="188">
        <f t="shared" si="54"/>
        <v>0</v>
      </c>
      <c r="AF99" s="188">
        <f t="shared" si="55"/>
        <v>0.31736111111240461</v>
      </c>
      <c r="AG99" s="188">
        <f t="shared" si="56"/>
        <v>0</v>
      </c>
    </row>
    <row r="100" spans="2:33" ht="15" customHeight="1" x14ac:dyDescent="0.15">
      <c r="B100" s="174" t="s">
        <v>5</v>
      </c>
      <c r="C100" s="175" t="s">
        <v>15</v>
      </c>
      <c r="D100" s="176" t="str">
        <f t="shared" si="38"/>
        <v>C</v>
      </c>
      <c r="E100" s="177" t="d">
        <v>2021-07-29T15:14:59.99999979045242400</v>
      </c>
      <c r="F100" s="178" t="s">
        <v>82</v>
      </c>
      <c r="G100" s="179">
        <v>4410.74</v>
      </c>
      <c r="H100" s="179">
        <v>4396.37</v>
      </c>
      <c r="I100" s="180">
        <f t="shared" si="39"/>
        <v>14.369999999999891</v>
      </c>
      <c r="J100" s="179">
        <v>4504.12</v>
      </c>
      <c r="K100" s="177" t="d">
        <v>2021-07-29T23:09:00.00000008381903175</v>
      </c>
      <c r="L100" s="179">
        <v>4414.18</v>
      </c>
      <c r="M100" s="181">
        <f t="shared" si="40"/>
        <v>3.44</v>
      </c>
      <c r="N100" s="182">
        <f t="shared" si="41"/>
        <v>0.24</v>
      </c>
      <c r="O100" s="183">
        <f t="shared" si="42"/>
        <v>0</v>
      </c>
      <c r="P100" s="184">
        <f t="shared" si="43"/>
        <v>0.24</v>
      </c>
      <c r="Q100" s="184">
        <f t="shared" si="44"/>
        <v>0</v>
      </c>
      <c r="R10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30865</v>
      </c>
      <c r="T10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31055</v>
      </c>
      <c r="U100" s="186">
        <f ca="1">IF(Tabla336106734812[[#This Row],[Equity]]&lt;Tabla336106734812[[#This Row],[Equity Peak]],(Tabla336106734812[[#This Row],[Equity Peak]]-Tabla336106734812[[#This Row],[Equity]])/Tabla336106734812[[#This Row],[Equity Peak]],"")</f>
        <v>6.1181774271453875E-3</v>
      </c>
      <c r="V100" s="187">
        <f t="shared" si="45"/>
        <v>0</v>
      </c>
      <c r="W100" s="187">
        <f t="shared" si="46"/>
        <v>0</v>
      </c>
      <c r="X100" s="187">
        <f t="shared" si="47"/>
        <v>0</v>
      </c>
      <c r="Y100" s="187">
        <f t="shared" si="48"/>
        <v>0</v>
      </c>
      <c r="Z100" s="187">
        <f t="shared" si="49"/>
        <v>0.24</v>
      </c>
      <c r="AA100" s="183">
        <f t="shared" si="50"/>
        <v>0</v>
      </c>
      <c r="AB100" s="187">
        <f t="shared" si="51"/>
        <v>0</v>
      </c>
      <c r="AC100" s="183">
        <f t="shared" si="52"/>
        <v>0</v>
      </c>
      <c r="AD100" s="188">
        <f t="shared" si="53"/>
        <v>0.32916666667006211</v>
      </c>
      <c r="AE100" s="188">
        <f t="shared" si="54"/>
        <v>0.32916666667006211</v>
      </c>
      <c r="AF100" s="188">
        <f t="shared" si="55"/>
        <v>0</v>
      </c>
      <c r="AG100" s="188">
        <f t="shared" si="56"/>
        <v>0</v>
      </c>
    </row>
    <row r="101" spans="2:33" ht="15" customHeight="1" x14ac:dyDescent="0.15">
      <c r="B101" s="174" t="s">
        <v>5</v>
      </c>
      <c r="C101" s="175" t="s">
        <v>15</v>
      </c>
      <c r="D101" s="176" t="str">
        <f t="shared" si="38"/>
        <v>C</v>
      </c>
      <c r="E101" s="177" t="d">
        <v>2021-07-28T12:00:00.000</v>
      </c>
      <c r="F101" s="178" t="s">
        <v>82</v>
      </c>
      <c r="G101" s="179">
        <v>4412.29</v>
      </c>
      <c r="H101" s="179">
        <v>4398.8100000000004</v>
      </c>
      <c r="I101" s="180">
        <f t="shared" si="39"/>
        <v>13.479999999999563</v>
      </c>
      <c r="J101" s="179">
        <v>4499.91</v>
      </c>
      <c r="K101" s="177" t="d">
        <v>2021-07-28T16:38:59.99999987427145575</v>
      </c>
      <c r="L101" s="179">
        <v>4398.8100000000004</v>
      </c>
      <c r="M101" s="181">
        <f t="shared" si="40"/>
        <v>-13.48</v>
      </c>
      <c r="N101" s="182">
        <f t="shared" si="41"/>
        <v>-1</v>
      </c>
      <c r="O101" s="183">
        <f t="shared" si="42"/>
        <v>0</v>
      </c>
      <c r="P101" s="184">
        <f t="shared" si="43"/>
        <v>0</v>
      </c>
      <c r="Q101" s="184">
        <f t="shared" si="44"/>
        <v>-1</v>
      </c>
      <c r="R10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30805</v>
      </c>
      <c r="T10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31055</v>
      </c>
      <c r="U101" s="186">
        <f ca="1">IF(Tabla336106734812[[#This Row],[Equity]]&lt;Tabla336106734812[[#This Row],[Equity Peak]],(Tabla336106734812[[#This Row],[Equity Peak]]-Tabla336106734812[[#This Row],[Equity]])/Tabla336106734812[[#This Row],[Equity Peak]],"")</f>
        <v>8.050233456770247E-3</v>
      </c>
      <c r="V101" s="187">
        <f t="shared" si="45"/>
        <v>0</v>
      </c>
      <c r="W101" s="187">
        <f t="shared" si="46"/>
        <v>0</v>
      </c>
      <c r="X101" s="187">
        <f t="shared" si="47"/>
        <v>0</v>
      </c>
      <c r="Y101" s="187">
        <f t="shared" si="48"/>
        <v>0</v>
      </c>
      <c r="Z101" s="187">
        <f t="shared" si="49"/>
        <v>-1</v>
      </c>
      <c r="AA101" s="183">
        <f t="shared" si="50"/>
        <v>0</v>
      </c>
      <c r="AB101" s="187">
        <f t="shared" si="51"/>
        <v>0</v>
      </c>
      <c r="AC101" s="183">
        <f t="shared" si="52"/>
        <v>0</v>
      </c>
      <c r="AD101" s="188">
        <f t="shared" si="53"/>
        <v>0.19374999999854481</v>
      </c>
      <c r="AE101" s="188">
        <f t="shared" si="54"/>
        <v>0</v>
      </c>
      <c r="AF101" s="188">
        <f t="shared" si="55"/>
        <v>0.19374999999854481</v>
      </c>
      <c r="AG101" s="188">
        <f t="shared" si="56"/>
        <v>0</v>
      </c>
    </row>
    <row r="102" spans="2:33" ht="15" customHeight="1" x14ac:dyDescent="0.15">
      <c r="B102" s="174" t="s">
        <v>5</v>
      </c>
      <c r="C102" s="175" t="s">
        <v>15</v>
      </c>
      <c r="D102" s="176" t="str">
        <f t="shared" si="38"/>
        <v>C</v>
      </c>
      <c r="E102" s="177" t="d">
        <v>2021-07-22T21:59:59.99999979045242400</v>
      </c>
      <c r="F102" s="178" t="s">
        <v>82</v>
      </c>
      <c r="G102" s="179">
        <v>4369.17</v>
      </c>
      <c r="H102" s="179">
        <v>4350.51</v>
      </c>
      <c r="I102" s="180">
        <f t="shared" si="39"/>
        <v>18.659999999999854</v>
      </c>
      <c r="J102" s="179">
        <v>4490.4799999999996</v>
      </c>
      <c r="K102" s="177" t="d">
        <v>2021-07-26T04:09:00.00000029336660775</v>
      </c>
      <c r="L102" s="179">
        <v>4396.04</v>
      </c>
      <c r="M102" s="181">
        <f t="shared" si="40"/>
        <v>26.87</v>
      </c>
      <c r="N102" s="182">
        <f t="shared" si="41"/>
        <v>1.44</v>
      </c>
      <c r="O102" s="183">
        <f t="shared" si="42"/>
        <v>0</v>
      </c>
      <c r="P102" s="184">
        <f t="shared" si="43"/>
        <v>1.44</v>
      </c>
      <c r="Q102" s="184">
        <f t="shared" si="44"/>
        <v>0</v>
      </c>
      <c r="R10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31055</v>
      </c>
      <c r="T10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31055</v>
      </c>
      <c r="U102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02" s="187">
        <f t="shared" si="45"/>
        <v>0</v>
      </c>
      <c r="W102" s="187">
        <f t="shared" si="46"/>
        <v>0</v>
      </c>
      <c r="X102" s="187">
        <f t="shared" si="47"/>
        <v>0</v>
      </c>
      <c r="Y102" s="187">
        <f t="shared" si="48"/>
        <v>0</v>
      </c>
      <c r="Z102" s="187">
        <f t="shared" si="49"/>
        <v>1.44</v>
      </c>
      <c r="AA102" s="183">
        <f t="shared" si="50"/>
        <v>0</v>
      </c>
      <c r="AB102" s="187">
        <f t="shared" si="51"/>
        <v>0</v>
      </c>
      <c r="AC102" s="183">
        <f t="shared" si="52"/>
        <v>0</v>
      </c>
      <c r="AD102" s="188">
        <f t="shared" si="53"/>
        <v>3.2562500000058208</v>
      </c>
      <c r="AE102" s="188">
        <f t="shared" si="54"/>
        <v>3.2562500000058208</v>
      </c>
      <c r="AF102" s="188">
        <f t="shared" si="55"/>
        <v>0</v>
      </c>
      <c r="AG102" s="188">
        <f t="shared" si="56"/>
        <v>0</v>
      </c>
    </row>
    <row r="103" spans="2:33" ht="15" customHeight="1" x14ac:dyDescent="0.15">
      <c r="B103" s="174" t="s">
        <v>5</v>
      </c>
      <c r="C103" s="175" t="s">
        <v>15</v>
      </c>
      <c r="D103" s="176" t="str">
        <f t="shared" si="38"/>
        <v>C</v>
      </c>
      <c r="E103" s="177" t="d">
        <v>2021-07-21T17:00:00.00000020954757600</v>
      </c>
      <c r="F103" s="178" t="s">
        <v>82</v>
      </c>
      <c r="G103" s="179">
        <v>4349.7</v>
      </c>
      <c r="H103" s="179">
        <v>4330.18</v>
      </c>
      <c r="I103" s="180">
        <f t="shared" si="39"/>
        <v>19.519999999999527</v>
      </c>
      <c r="J103" s="179">
        <v>4476.59</v>
      </c>
      <c r="K103" s="177" t="d">
        <v>2021-07-22T19:18:00.00000016763806350</v>
      </c>
      <c r="L103" s="179">
        <v>4349.38</v>
      </c>
      <c r="M103" s="181">
        <f t="shared" si="40"/>
        <v>-0.32</v>
      </c>
      <c r="N103" s="182">
        <f t="shared" si="41"/>
        <v>-0.02</v>
      </c>
      <c r="O103" s="183">
        <f t="shared" si="42"/>
        <v>0</v>
      </c>
      <c r="P103" s="184">
        <f t="shared" si="43"/>
        <v>0</v>
      </c>
      <c r="Q103" s="184">
        <f t="shared" si="44"/>
        <v>-0.02</v>
      </c>
      <c r="R10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30695</v>
      </c>
      <c r="T10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30760</v>
      </c>
      <c r="U103" s="186">
        <f ca="1">IF(Tabla336106734812[[#This Row],[Equity]]&lt;Tabla336106734812[[#This Row],[Equity Peak]],(Tabla336106734812[[#This Row],[Equity Peak]]-Tabla336106734812[[#This Row],[Equity]])/Tabla336106734812[[#This Row],[Equity Peak]],"")</f>
        <v>2.1131339401820547E-3</v>
      </c>
      <c r="V103" s="187">
        <f t="shared" si="45"/>
        <v>0</v>
      </c>
      <c r="W103" s="187">
        <f t="shared" si="46"/>
        <v>0</v>
      </c>
      <c r="X103" s="187">
        <f t="shared" si="47"/>
        <v>0</v>
      </c>
      <c r="Y103" s="187">
        <f t="shared" si="48"/>
        <v>0</v>
      </c>
      <c r="Z103" s="187">
        <f t="shared" si="49"/>
        <v>-0.02</v>
      </c>
      <c r="AA103" s="183">
        <f t="shared" si="50"/>
        <v>0</v>
      </c>
      <c r="AB103" s="187">
        <f t="shared" si="51"/>
        <v>0</v>
      </c>
      <c r="AC103" s="183">
        <f t="shared" si="52"/>
        <v>0</v>
      </c>
      <c r="AD103" s="188">
        <f t="shared" si="53"/>
        <v>1.0958333333328483</v>
      </c>
      <c r="AE103" s="188">
        <f t="shared" si="54"/>
        <v>0</v>
      </c>
      <c r="AF103" s="188">
        <f t="shared" si="55"/>
        <v>1.0958333333328483</v>
      </c>
      <c r="AG103" s="188">
        <f t="shared" si="56"/>
        <v>0</v>
      </c>
    </row>
    <row r="104" spans="2:33" ht="15" customHeight="1" x14ac:dyDescent="0.15">
      <c r="B104" s="174" t="s">
        <v>5</v>
      </c>
      <c r="C104" s="175" t="s">
        <v>15</v>
      </c>
      <c r="D104" s="176" t="str">
        <f t="shared" si="38"/>
        <v>C</v>
      </c>
      <c r="E104" s="177" t="d">
        <v>2021-07-20T19:44:59.99999979045242400</v>
      </c>
      <c r="F104" s="178" t="s">
        <v>82</v>
      </c>
      <c r="G104" s="179">
        <v>4328.7700000000004</v>
      </c>
      <c r="H104" s="179">
        <v>4309.3999999999996</v>
      </c>
      <c r="I104" s="180">
        <f t="shared" si="39"/>
        <v>19.3700000000008</v>
      </c>
      <c r="J104" s="179">
        <v>4454.66</v>
      </c>
      <c r="K104" s="177" t="d">
        <v>2021-07-21T14:54:00.00000008381903175</v>
      </c>
      <c r="L104" s="179">
        <v>4324.07</v>
      </c>
      <c r="M104" s="181">
        <f t="shared" si="40"/>
        <v>-4.7</v>
      </c>
      <c r="N104" s="182">
        <f t="shared" si="41"/>
        <v>-0.24</v>
      </c>
      <c r="O104" s="183">
        <f t="shared" si="42"/>
        <v>0</v>
      </c>
      <c r="P104" s="184">
        <f t="shared" si="43"/>
        <v>0</v>
      </c>
      <c r="Q104" s="184">
        <f t="shared" si="44"/>
        <v>-0.24</v>
      </c>
      <c r="R10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30700</v>
      </c>
      <c r="T10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30760</v>
      </c>
      <c r="U104" s="186">
        <f ca="1">IF(Tabla336106734812[[#This Row],[Equity]]&lt;Tabla336106734812[[#This Row],[Equity Peak]],(Tabla336106734812[[#This Row],[Equity Peak]]-Tabla336106734812[[#This Row],[Equity]])/Tabla336106734812[[#This Row],[Equity Peak]],"")</f>
        <v>1.9505851755526658E-3</v>
      </c>
      <c r="V104" s="187">
        <f t="shared" si="45"/>
        <v>0</v>
      </c>
      <c r="W104" s="187">
        <f t="shared" si="46"/>
        <v>0</v>
      </c>
      <c r="X104" s="187">
        <f t="shared" si="47"/>
        <v>0</v>
      </c>
      <c r="Y104" s="187">
        <f t="shared" si="48"/>
        <v>0</v>
      </c>
      <c r="Z104" s="187">
        <f t="shared" si="49"/>
        <v>-0.24</v>
      </c>
      <c r="AA104" s="183">
        <f t="shared" si="50"/>
        <v>0</v>
      </c>
      <c r="AB104" s="187">
        <f t="shared" si="51"/>
        <v>0</v>
      </c>
      <c r="AC104" s="183">
        <f t="shared" si="52"/>
        <v>0</v>
      </c>
      <c r="AD104" s="188">
        <f t="shared" si="53"/>
        <v>0.79791666667006211</v>
      </c>
      <c r="AE104" s="188">
        <f t="shared" si="54"/>
        <v>0</v>
      </c>
      <c r="AF104" s="188">
        <f t="shared" si="55"/>
        <v>0.79791666667006211</v>
      </c>
      <c r="AG104" s="188">
        <f t="shared" si="56"/>
        <v>0</v>
      </c>
    </row>
    <row r="105" spans="2:33" ht="15" customHeight="1" x14ac:dyDescent="0.15">
      <c r="B105" s="174" t="s">
        <v>5</v>
      </c>
      <c r="C105" s="175" t="s">
        <v>13</v>
      </c>
      <c r="D105" s="176" t="str">
        <f t="shared" si="38"/>
        <v>C</v>
      </c>
      <c r="E105" s="177" t="d">
        <v>2021-07-16T17:29:59.99999979045242400</v>
      </c>
      <c r="F105" s="178" t="s">
        <v>82</v>
      </c>
      <c r="G105" s="179">
        <v>4345.3900000000003</v>
      </c>
      <c r="H105" s="179">
        <v>4359.2</v>
      </c>
      <c r="I105" s="180">
        <f t="shared" si="39"/>
        <v>13.809999999999491</v>
      </c>
      <c r="J105" s="179">
        <v>4255.63</v>
      </c>
      <c r="K105" s="177" t="d">
        <v>2021-07-19T16:51:59.99999990221113300</v>
      </c>
      <c r="L105" s="179">
        <v>4255.63</v>
      </c>
      <c r="M105" s="181">
        <f t="shared" si="40"/>
        <v>89.76</v>
      </c>
      <c r="N105" s="182">
        <f t="shared" si="41"/>
        <v>6.5</v>
      </c>
      <c r="O105" s="183">
        <f t="shared" si="42"/>
        <v>0</v>
      </c>
      <c r="P105" s="184">
        <f t="shared" si="43"/>
        <v>6.5</v>
      </c>
      <c r="Q105" s="184">
        <f t="shared" si="44"/>
        <v>0</v>
      </c>
      <c r="R10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30760</v>
      </c>
      <c r="T10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30760</v>
      </c>
      <c r="U105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05" s="187">
        <f t="shared" si="45"/>
        <v>0</v>
      </c>
      <c r="W105" s="187">
        <f t="shared" si="46"/>
        <v>0</v>
      </c>
      <c r="X105" s="187">
        <f t="shared" si="47"/>
        <v>0</v>
      </c>
      <c r="Y105" s="187">
        <f t="shared" si="48"/>
        <v>0</v>
      </c>
      <c r="Z105" s="187">
        <f t="shared" si="49"/>
        <v>6.5</v>
      </c>
      <c r="AA105" s="183">
        <f t="shared" si="50"/>
        <v>0</v>
      </c>
      <c r="AB105" s="187">
        <f t="shared" si="51"/>
        <v>0</v>
      </c>
      <c r="AC105" s="183">
        <f t="shared" si="52"/>
        <v>0</v>
      </c>
      <c r="AD105" s="188">
        <f t="shared" si="53"/>
        <v>2.9736111111124046</v>
      </c>
      <c r="AE105" s="188">
        <f t="shared" si="54"/>
        <v>2.9736111111124046</v>
      </c>
      <c r="AF105" s="188">
        <f t="shared" si="55"/>
        <v>0</v>
      </c>
      <c r="AG105" s="188">
        <f t="shared" si="56"/>
        <v>0</v>
      </c>
    </row>
    <row r="106" spans="2:33" ht="15" customHeight="1" x14ac:dyDescent="0.15">
      <c r="B106" s="174" t="s">
        <v>5</v>
      </c>
      <c r="C106" s="175" t="s">
        <v>15</v>
      </c>
      <c r="D106" s="176" t="str">
        <f t="shared" si="38"/>
        <v>C</v>
      </c>
      <c r="E106" s="177" t="d">
        <v>2021-07-16T12:14:59.99999979045242400</v>
      </c>
      <c r="F106" s="178" t="s">
        <v>82</v>
      </c>
      <c r="G106" s="179">
        <v>4367.8900000000003</v>
      </c>
      <c r="H106" s="179">
        <v>4354.3999999999996</v>
      </c>
      <c r="I106" s="180">
        <f t="shared" si="39"/>
        <v>13.490000000000691</v>
      </c>
      <c r="J106" s="179">
        <v>4455.59</v>
      </c>
      <c r="K106" s="177" t="d">
        <v>2021-07-16T17:06:00.00000012572854425</v>
      </c>
      <c r="L106" s="179">
        <v>4359.6899999999996</v>
      </c>
      <c r="M106" s="181">
        <f t="shared" si="40"/>
        <v>-8.1999999999999993</v>
      </c>
      <c r="N106" s="182">
        <f t="shared" si="41"/>
        <v>-0.61</v>
      </c>
      <c r="O106" s="183">
        <f t="shared" si="42"/>
        <v>0</v>
      </c>
      <c r="P106" s="184">
        <f t="shared" si="43"/>
        <v>0</v>
      </c>
      <c r="Q106" s="184">
        <f t="shared" si="44"/>
        <v>-0.61</v>
      </c>
      <c r="R10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29135</v>
      </c>
      <c r="T10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29555</v>
      </c>
      <c r="U106" s="186">
        <f ca="1">IF(Tabla336106734812[[#This Row],[Equity]]&lt;Tabla336106734812[[#This Row],[Equity Peak]],(Tabla336106734812[[#This Row],[Equity Peak]]-Tabla336106734812[[#This Row],[Equity]])/Tabla336106734812[[#This Row],[Equity Peak]],"")</f>
        <v>1.4210793435966842E-2</v>
      </c>
      <c r="V106" s="187">
        <f t="shared" si="45"/>
        <v>0</v>
      </c>
      <c r="W106" s="187">
        <f t="shared" si="46"/>
        <v>0</v>
      </c>
      <c r="X106" s="187">
        <f t="shared" si="47"/>
        <v>0</v>
      </c>
      <c r="Y106" s="187">
        <f t="shared" si="48"/>
        <v>0</v>
      </c>
      <c r="Z106" s="187">
        <f t="shared" si="49"/>
        <v>-0.61</v>
      </c>
      <c r="AA106" s="183">
        <f t="shared" si="50"/>
        <v>0</v>
      </c>
      <c r="AB106" s="187">
        <f t="shared" si="51"/>
        <v>0</v>
      </c>
      <c r="AC106" s="183">
        <f t="shared" si="52"/>
        <v>0</v>
      </c>
      <c r="AD106" s="188">
        <f t="shared" si="53"/>
        <v>0.20208333333721384</v>
      </c>
      <c r="AE106" s="188">
        <f t="shared" si="54"/>
        <v>0</v>
      </c>
      <c r="AF106" s="188">
        <f t="shared" si="55"/>
        <v>0.20208333333721384</v>
      </c>
      <c r="AG106" s="188">
        <f t="shared" si="56"/>
        <v>0</v>
      </c>
    </row>
    <row r="107" spans="2:33" ht="15" customHeight="1" x14ac:dyDescent="0.15">
      <c r="B107" s="174" t="s">
        <v>5</v>
      </c>
      <c r="C107" s="175" t="s">
        <v>13</v>
      </c>
      <c r="D107" s="176" t="str">
        <f t="shared" si="38"/>
        <v>C</v>
      </c>
      <c r="E107" s="177" t="d">
        <v>2021-07-15T14:29:59.99999979045242400</v>
      </c>
      <c r="F107" s="178" t="s">
        <v>82</v>
      </c>
      <c r="G107" s="179">
        <v>4355.91</v>
      </c>
      <c r="H107" s="179">
        <v>4369.2299999999996</v>
      </c>
      <c r="I107" s="180">
        <f t="shared" si="39"/>
        <v>13.319999999999709</v>
      </c>
      <c r="J107" s="179">
        <v>4269.3100000000004</v>
      </c>
      <c r="K107" s="177" t="d">
        <v>2021-07-15T21:56:59.99999983236193650</v>
      </c>
      <c r="L107" s="179">
        <v>4354.83</v>
      </c>
      <c r="M107" s="181">
        <f t="shared" si="40"/>
        <v>1.08</v>
      </c>
      <c r="N107" s="182">
        <f t="shared" si="41"/>
        <v>0.08</v>
      </c>
      <c r="O107" s="183">
        <f t="shared" si="42"/>
        <v>0</v>
      </c>
      <c r="P107" s="184">
        <f t="shared" si="43"/>
        <v>0.08</v>
      </c>
      <c r="Q107" s="184">
        <f t="shared" si="44"/>
        <v>0</v>
      </c>
      <c r="R10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29287.5</v>
      </c>
      <c r="T10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29555</v>
      </c>
      <c r="U107" s="186">
        <f ca="1">IF(Tabla336106734812[[#This Row],[Equity]]&lt;Tabla336106734812[[#This Row],[Equity Peak]],(Tabla336106734812[[#This Row],[Equity Peak]]-Tabla336106734812[[#This Row],[Equity]])/Tabla336106734812[[#This Row],[Equity Peak]],"")</f>
        <v>9.0509220098122147E-3</v>
      </c>
      <c r="V107" s="187">
        <f t="shared" si="45"/>
        <v>0</v>
      </c>
      <c r="W107" s="187">
        <f t="shared" si="46"/>
        <v>0</v>
      </c>
      <c r="X107" s="187">
        <f t="shared" si="47"/>
        <v>0</v>
      </c>
      <c r="Y107" s="187">
        <f t="shared" si="48"/>
        <v>0</v>
      </c>
      <c r="Z107" s="187">
        <f t="shared" si="49"/>
        <v>0.08</v>
      </c>
      <c r="AA107" s="183">
        <f t="shared" si="50"/>
        <v>0</v>
      </c>
      <c r="AB107" s="187">
        <f t="shared" si="51"/>
        <v>0</v>
      </c>
      <c r="AC107" s="183">
        <f t="shared" si="52"/>
        <v>0</v>
      </c>
      <c r="AD107" s="188">
        <f t="shared" si="53"/>
        <v>0.31041666666715173</v>
      </c>
      <c r="AE107" s="188">
        <f t="shared" si="54"/>
        <v>0.31041666666715173</v>
      </c>
      <c r="AF107" s="188">
        <f t="shared" si="55"/>
        <v>0</v>
      </c>
      <c r="AG107" s="188">
        <f t="shared" si="56"/>
        <v>0</v>
      </c>
    </row>
    <row r="108" spans="2:33" ht="15" customHeight="1" x14ac:dyDescent="0.15">
      <c r="B108" s="174" t="s">
        <v>5</v>
      </c>
      <c r="C108" s="175" t="s">
        <v>15</v>
      </c>
      <c r="D108" s="176" t="str">
        <f t="shared" si="38"/>
        <v>C</v>
      </c>
      <c r="E108" s="177" t="d">
        <v>2021-07-14T15:00:00.000</v>
      </c>
      <c r="F108" s="178" t="s">
        <v>82</v>
      </c>
      <c r="G108" s="179">
        <v>4376.6499999999996</v>
      </c>
      <c r="H108" s="179">
        <v>4361.58</v>
      </c>
      <c r="I108" s="180">
        <f t="shared" si="39"/>
        <v>15.069999999999709</v>
      </c>
      <c r="J108" s="179">
        <v>4474.6000000000004</v>
      </c>
      <c r="K108" s="177" t="d">
        <v>2021-07-14T18:21:59.99999990221113300</v>
      </c>
      <c r="L108" s="179">
        <v>4374.42</v>
      </c>
      <c r="M108" s="181">
        <f t="shared" si="40"/>
        <v>-2.23</v>
      </c>
      <c r="N108" s="182">
        <f t="shared" si="41"/>
        <v>-0.15</v>
      </c>
      <c r="O108" s="183">
        <f t="shared" si="42"/>
        <v>0</v>
      </c>
      <c r="P108" s="184">
        <f t="shared" si="43"/>
        <v>0</v>
      </c>
      <c r="Q108" s="184">
        <f t="shared" si="44"/>
        <v>-0.15</v>
      </c>
      <c r="R10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29267.5</v>
      </c>
      <c r="T10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29555</v>
      </c>
      <c r="U108" s="186">
        <f ca="1">IF(Tabla336106734812[[#This Row],[Equity]]&lt;Tabla336106734812[[#This Row],[Equity Peak]],(Tabla336106734812[[#This Row],[Equity Peak]]-Tabla336106734812[[#This Row],[Equity]])/Tabla336106734812[[#This Row],[Equity Peak]],"")</f>
        <v>9.727626459143969E-3</v>
      </c>
      <c r="V108" s="187">
        <f t="shared" si="45"/>
        <v>0</v>
      </c>
      <c r="W108" s="187">
        <f t="shared" si="46"/>
        <v>0</v>
      </c>
      <c r="X108" s="187">
        <f t="shared" si="47"/>
        <v>0</v>
      </c>
      <c r="Y108" s="187">
        <f t="shared" si="48"/>
        <v>0</v>
      </c>
      <c r="Z108" s="187">
        <f t="shared" si="49"/>
        <v>-0.15</v>
      </c>
      <c r="AA108" s="183">
        <f t="shared" si="50"/>
        <v>0</v>
      </c>
      <c r="AB108" s="187">
        <f t="shared" si="51"/>
        <v>0</v>
      </c>
      <c r="AC108" s="183">
        <f t="shared" si="52"/>
        <v>0</v>
      </c>
      <c r="AD108" s="188">
        <f t="shared" si="53"/>
        <v>0.14027777777664596</v>
      </c>
      <c r="AE108" s="188">
        <f t="shared" si="54"/>
        <v>0</v>
      </c>
      <c r="AF108" s="188">
        <f t="shared" si="55"/>
        <v>0.14027777777664596</v>
      </c>
      <c r="AG108" s="188">
        <f t="shared" si="56"/>
        <v>0</v>
      </c>
    </row>
    <row r="109" spans="2:33" ht="15" customHeight="1" x14ac:dyDescent="0.15">
      <c r="B109" s="174" t="s">
        <v>5</v>
      </c>
      <c r="C109" s="175" t="s">
        <v>15</v>
      </c>
      <c r="D109" s="176" t="str">
        <f t="shared" si="38"/>
        <v>C</v>
      </c>
      <c r="E109" s="177" t="d">
        <v>2021-07-13T18:30:00.00000020954757600</v>
      </c>
      <c r="F109" s="178" t="s">
        <v>82</v>
      </c>
      <c r="G109" s="179">
        <v>4390.82</v>
      </c>
      <c r="H109" s="179">
        <v>4375.6400000000003</v>
      </c>
      <c r="I109" s="180">
        <f t="shared" si="39"/>
        <v>15.179999999999382</v>
      </c>
      <c r="J109" s="179">
        <v>4489.51</v>
      </c>
      <c r="K109" s="177" t="d">
        <v>2021-07-13T20:23:59.99999987427145575</v>
      </c>
      <c r="L109" s="179">
        <v>4375.6400000000003</v>
      </c>
      <c r="M109" s="181">
        <f t="shared" si="40"/>
        <v>-15.18</v>
      </c>
      <c r="N109" s="182">
        <f t="shared" si="41"/>
        <v>-1</v>
      </c>
      <c r="O109" s="183">
        <f t="shared" si="42"/>
        <v>0</v>
      </c>
      <c r="P109" s="184">
        <f t="shared" si="43"/>
        <v>0</v>
      </c>
      <c r="Q109" s="184">
        <f t="shared" si="44"/>
        <v>-1</v>
      </c>
      <c r="R10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0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29305</v>
      </c>
      <c r="T10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29555</v>
      </c>
      <c r="U109" s="186">
        <f ca="1">IF(Tabla336106734812[[#This Row],[Equity]]&lt;Tabla336106734812[[#This Row],[Equity Peak]],(Tabla336106734812[[#This Row],[Equity Peak]]-Tabla336106734812[[#This Row],[Equity]])/Tabla336106734812[[#This Row],[Equity Peak]],"")</f>
        <v>8.4588056166469295E-3</v>
      </c>
      <c r="V109" s="187">
        <f t="shared" si="45"/>
        <v>0</v>
      </c>
      <c r="W109" s="187">
        <f t="shared" si="46"/>
        <v>0</v>
      </c>
      <c r="X109" s="187">
        <f t="shared" si="47"/>
        <v>0</v>
      </c>
      <c r="Y109" s="187">
        <f t="shared" si="48"/>
        <v>0</v>
      </c>
      <c r="Z109" s="187">
        <f t="shared" si="49"/>
        <v>-1</v>
      </c>
      <c r="AA109" s="183">
        <f t="shared" si="50"/>
        <v>0</v>
      </c>
      <c r="AB109" s="187">
        <f t="shared" si="51"/>
        <v>0</v>
      </c>
      <c r="AC109" s="183">
        <f t="shared" si="52"/>
        <v>0</v>
      </c>
      <c r="AD109" s="188">
        <f t="shared" si="53"/>
        <v>7.9166666662786156E-2</v>
      </c>
      <c r="AE109" s="188">
        <f t="shared" si="54"/>
        <v>0</v>
      </c>
      <c r="AF109" s="188">
        <f t="shared" si="55"/>
        <v>7.9166666662786156E-2</v>
      </c>
      <c r="AG109" s="188">
        <f t="shared" si="56"/>
        <v>0</v>
      </c>
    </row>
    <row r="110" spans="2:33" ht="15" customHeight="1" x14ac:dyDescent="0.15">
      <c r="B110" s="174" t="s">
        <v>5</v>
      </c>
      <c r="C110" s="175" t="s">
        <v>15</v>
      </c>
      <c r="D110" s="176" t="str">
        <f t="shared" si="38"/>
        <v>C</v>
      </c>
      <c r="E110" s="177" t="d">
        <v>2021-07-09T11:15:00.000</v>
      </c>
      <c r="F110" s="178" t="s">
        <v>82</v>
      </c>
      <c r="G110" s="179">
        <v>4334.49</v>
      </c>
      <c r="H110" s="179">
        <v>4320.3100000000004</v>
      </c>
      <c r="I110" s="180">
        <f t="shared" si="39"/>
        <v>14.179999999999382</v>
      </c>
      <c r="J110" s="179">
        <v>4426.63</v>
      </c>
      <c r="K110" s="177" t="d">
        <v>2021-07-12T10:37:00.00000011175870900</v>
      </c>
      <c r="L110" s="179">
        <v>4356.9799999999996</v>
      </c>
      <c r="M110" s="181">
        <f t="shared" si="40"/>
        <v>22.49</v>
      </c>
      <c r="N110" s="182">
        <f t="shared" si="41"/>
        <v>1.59</v>
      </c>
      <c r="O110" s="183">
        <f t="shared" si="42"/>
        <v>0</v>
      </c>
      <c r="P110" s="184">
        <f t="shared" si="43"/>
        <v>1.59</v>
      </c>
      <c r="Q110" s="184">
        <f t="shared" si="44"/>
        <v>0</v>
      </c>
      <c r="R11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29555</v>
      </c>
      <c r="T11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29555</v>
      </c>
      <c r="U110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10" s="187">
        <f t="shared" si="45"/>
        <v>0</v>
      </c>
      <c r="W110" s="187">
        <f t="shared" si="46"/>
        <v>0</v>
      </c>
      <c r="X110" s="187">
        <f t="shared" si="47"/>
        <v>0</v>
      </c>
      <c r="Y110" s="187">
        <f t="shared" si="48"/>
        <v>0</v>
      </c>
      <c r="Z110" s="187">
        <f t="shared" si="49"/>
        <v>1.59</v>
      </c>
      <c r="AA110" s="183">
        <f t="shared" si="50"/>
        <v>0</v>
      </c>
      <c r="AB110" s="187">
        <f t="shared" si="51"/>
        <v>0</v>
      </c>
      <c r="AC110" s="183">
        <f t="shared" si="52"/>
        <v>0</v>
      </c>
      <c r="AD110" s="188">
        <f t="shared" si="53"/>
        <v>2.9736111111124046</v>
      </c>
      <c r="AE110" s="188">
        <f t="shared" si="54"/>
        <v>2.9736111111124046</v>
      </c>
      <c r="AF110" s="188">
        <f t="shared" si="55"/>
        <v>0</v>
      </c>
      <c r="AG110" s="188">
        <f t="shared" si="56"/>
        <v>0</v>
      </c>
    </row>
    <row r="111" spans="2:33" ht="15" customHeight="1" x14ac:dyDescent="0.15">
      <c r="B111" s="174" t="s">
        <v>5</v>
      </c>
      <c r="C111" s="175" t="s">
        <v>13</v>
      </c>
      <c r="D111" s="176" t="str">
        <f t="shared" si="38"/>
        <v>C</v>
      </c>
      <c r="E111" s="177" t="d">
        <v>2021-07-08T10:44:59.99999979045242400</v>
      </c>
      <c r="F111" s="178" t="s">
        <v>82</v>
      </c>
      <c r="G111" s="179">
        <v>4323.09</v>
      </c>
      <c r="H111" s="179">
        <v>4333.62</v>
      </c>
      <c r="I111" s="180">
        <f t="shared" si="39"/>
        <v>10.529999999999745</v>
      </c>
      <c r="J111" s="179">
        <v>4254.6400000000003</v>
      </c>
      <c r="K111" s="177" t="d">
        <v>2021-07-08T13:54:00.00000029336660775</v>
      </c>
      <c r="L111" s="179">
        <v>4302.76</v>
      </c>
      <c r="M111" s="181">
        <f t="shared" si="40"/>
        <v>20.329999999999998</v>
      </c>
      <c r="N111" s="182">
        <f t="shared" si="41"/>
        <v>1.93</v>
      </c>
      <c r="O111" s="183">
        <f t="shared" si="42"/>
        <v>0</v>
      </c>
      <c r="P111" s="184">
        <f t="shared" si="43"/>
        <v>1.93</v>
      </c>
      <c r="Q111" s="184">
        <f t="shared" si="44"/>
        <v>0</v>
      </c>
      <c r="R11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29157.5</v>
      </c>
      <c r="T11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29157.5</v>
      </c>
      <c r="U111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11" s="187">
        <f t="shared" si="45"/>
        <v>0</v>
      </c>
      <c r="W111" s="187">
        <f t="shared" si="46"/>
        <v>0</v>
      </c>
      <c r="X111" s="187">
        <f t="shared" si="47"/>
        <v>0</v>
      </c>
      <c r="Y111" s="187">
        <f t="shared" si="48"/>
        <v>0</v>
      </c>
      <c r="Z111" s="187">
        <f t="shared" si="49"/>
        <v>1.93</v>
      </c>
      <c r="AA111" s="183">
        <f t="shared" si="50"/>
        <v>0</v>
      </c>
      <c r="AB111" s="187">
        <f t="shared" si="51"/>
        <v>0</v>
      </c>
      <c r="AC111" s="183">
        <f t="shared" si="52"/>
        <v>0</v>
      </c>
      <c r="AD111" s="188">
        <f t="shared" si="53"/>
        <v>0.13125000000582077</v>
      </c>
      <c r="AE111" s="188">
        <f t="shared" si="54"/>
        <v>0.13125000000582077</v>
      </c>
      <c r="AF111" s="188">
        <f t="shared" si="55"/>
        <v>0</v>
      </c>
      <c r="AG111" s="188">
        <f t="shared" si="56"/>
        <v>0</v>
      </c>
    </row>
    <row r="112" spans="2:33" ht="15" customHeight="1" x14ac:dyDescent="0.15">
      <c r="B112" s="174" t="s">
        <v>5</v>
      </c>
      <c r="C112" s="175" t="s">
        <v>15</v>
      </c>
      <c r="D112" s="176" t="str">
        <f t="shared" si="38"/>
        <v>C</v>
      </c>
      <c r="E112" s="177" t="d">
        <v>2021-07-07T19:15:00.00000020954757600</v>
      </c>
      <c r="F112" s="178" t="s">
        <v>82</v>
      </c>
      <c r="G112" s="179">
        <v>4358.54</v>
      </c>
      <c r="H112" s="179">
        <v>4348.58</v>
      </c>
      <c r="I112" s="180">
        <f t="shared" si="39"/>
        <v>9.9600000000000364</v>
      </c>
      <c r="J112" s="179">
        <v>4423.25</v>
      </c>
      <c r="K112" s="177" t="d">
        <v>2021-07-08T05:26:59.99999983236193650</v>
      </c>
      <c r="L112" s="179">
        <v>4350.41</v>
      </c>
      <c r="M112" s="181">
        <f t="shared" si="40"/>
        <v>-8.1300000000000008</v>
      </c>
      <c r="N112" s="182">
        <f t="shared" si="41"/>
        <v>-0.82</v>
      </c>
      <c r="O112" s="183">
        <f t="shared" si="42"/>
        <v>0</v>
      </c>
      <c r="P112" s="184">
        <f t="shared" si="43"/>
        <v>0</v>
      </c>
      <c r="Q112" s="184">
        <f t="shared" si="44"/>
        <v>-0.82</v>
      </c>
      <c r="R11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28675</v>
      </c>
      <c r="T11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29012.5</v>
      </c>
      <c r="U112" s="186">
        <f ca="1">IF(Tabla336106734812[[#This Row],[Equity]]&lt;Tabla336106734812[[#This Row],[Equity Peak]],(Tabla336106734812[[#This Row],[Equity Peak]]-Tabla336106734812[[#This Row],[Equity]])/Tabla336106734812[[#This Row],[Equity Peak]],"")</f>
        <v>1.1632916846186989E-2</v>
      </c>
      <c r="V112" s="187">
        <f t="shared" si="45"/>
        <v>0</v>
      </c>
      <c r="W112" s="187">
        <f t="shared" si="46"/>
        <v>0</v>
      </c>
      <c r="X112" s="187">
        <f t="shared" si="47"/>
        <v>0</v>
      </c>
      <c r="Y112" s="187">
        <f t="shared" si="48"/>
        <v>0</v>
      </c>
      <c r="Z112" s="187">
        <f t="shared" si="49"/>
        <v>-0.82</v>
      </c>
      <c r="AA112" s="183">
        <f t="shared" si="50"/>
        <v>0</v>
      </c>
      <c r="AB112" s="187">
        <f t="shared" si="51"/>
        <v>0</v>
      </c>
      <c r="AC112" s="183">
        <f t="shared" si="52"/>
        <v>0</v>
      </c>
      <c r="AD112" s="188">
        <f t="shared" si="53"/>
        <v>0.42499999999563443</v>
      </c>
      <c r="AE112" s="188">
        <f t="shared" si="54"/>
        <v>0</v>
      </c>
      <c r="AF112" s="188">
        <f t="shared" si="55"/>
        <v>0.42499999999563443</v>
      </c>
      <c r="AG112" s="188">
        <f t="shared" si="56"/>
        <v>0</v>
      </c>
    </row>
    <row r="113" spans="2:33" ht="15" customHeight="1" x14ac:dyDescent="0.15">
      <c r="B113" s="174" t="s">
        <v>5</v>
      </c>
      <c r="C113" s="175" t="s">
        <v>15</v>
      </c>
      <c r="D113" s="176" t="str">
        <f t="shared" ref="D113:D144" si="57">IF(E113&lt;&gt;"",IF(K113&lt;&gt;"","C","O"),"")</f>
        <v>C</v>
      </c>
      <c r="E113" s="177" t="d">
        <v>2021-07-07T10:30:00.000</v>
      </c>
      <c r="F113" s="178" t="s">
        <v>82</v>
      </c>
      <c r="G113" s="179">
        <v>4349.79</v>
      </c>
      <c r="H113" s="179">
        <v>4340.3599999999997</v>
      </c>
      <c r="I113" s="180">
        <f t="shared" ref="I113:I144" si="58">ABS(G113-H113)</f>
        <v>9.430000000000291</v>
      </c>
      <c r="J113" s="179">
        <v>4411.08</v>
      </c>
      <c r="K113" s="177" t="d">
        <v>2021-07-07T17:09:00.00000008381903175</v>
      </c>
      <c r="L113" s="179">
        <v>4344.83</v>
      </c>
      <c r="M113" s="181">
        <f t="shared" ref="M113:M144" si="59">ROUND(IF(C113="L",(L113-G113),(G113-L113)),4)</f>
        <v>-4.96</v>
      </c>
      <c r="N113" s="182">
        <f t="shared" ref="N113:N144" si="60">IFERROR(ROUND((M113/I113),2),"")</f>
        <v>-0.53</v>
      </c>
      <c r="O113" s="183">
        <f t="shared" ref="O113:O144" si="61">IF(D113="O",IF(N113&lt;0,N113,0),0)</f>
        <v>0</v>
      </c>
      <c r="P113" s="184">
        <f t="shared" ref="P113:P144" si="62">IF(N113&gt;= 0,N113,0)</f>
        <v>0</v>
      </c>
      <c r="Q113" s="184">
        <f t="shared" ref="Q113:Q144" si="63">IF(N113&lt;0,N113,0)</f>
        <v>-0.53</v>
      </c>
      <c r="R11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28880</v>
      </c>
      <c r="T11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29012.5</v>
      </c>
      <c r="U113" s="186">
        <f ca="1">IF(Tabla336106734812[[#This Row],[Equity]]&lt;Tabla336106734812[[#This Row],[Equity Peak]],(Tabla336106734812[[#This Row],[Equity Peak]]-Tabla336106734812[[#This Row],[Equity]])/Tabla336106734812[[#This Row],[Equity Peak]],"")</f>
        <v>4.5669969840585953E-3</v>
      </c>
      <c r="V113" s="187">
        <f t="shared" ref="V113:V144" si="64">IF(B113="FX",N113,0)</f>
        <v>0</v>
      </c>
      <c r="W113" s="187">
        <f t="shared" ref="W113:W144" si="65">IF(D113="O",IF(V113&lt;0,V113,0),0)</f>
        <v>0</v>
      </c>
      <c r="X113" s="187">
        <f t="shared" ref="X113:X144" si="66">IF(B113="COM",N113,0)</f>
        <v>0</v>
      </c>
      <c r="Y113" s="187">
        <f t="shared" ref="Y113:Y144" si="67">IF(D113="O",IF(X113&lt;0,X113,0),0)</f>
        <v>0</v>
      </c>
      <c r="Z113" s="187">
        <f t="shared" ref="Z113:Z144" si="68">IF(B113="IND",N113,0)</f>
        <v>-0.53</v>
      </c>
      <c r="AA113" s="183">
        <f t="shared" ref="AA113:AA144" si="69">IF(D113="O",IF(Z113&lt;0,Z113,0),0)</f>
        <v>0</v>
      </c>
      <c r="AB113" s="187">
        <f t="shared" ref="AB113:AB144" si="70">IF(B113="CRYPTO",N113,0)</f>
        <v>0</v>
      </c>
      <c r="AC113" s="183">
        <f t="shared" ref="AC113:AC144" si="71">IF(D113="O",IF(AB113&lt;0,AB113,0),0)</f>
        <v>0</v>
      </c>
      <c r="AD113" s="188">
        <f t="shared" ref="AD113:AD144" si="72">IF(K113&lt;&gt;"",K113-E113,0)</f>
        <v>0.27708333333430346</v>
      </c>
      <c r="AE113" s="188">
        <f t="shared" ref="AE113:AE144" si="73">IF(N113&gt;0,AD113,0)</f>
        <v>0</v>
      </c>
      <c r="AF113" s="188">
        <f t="shared" ref="AF113:AF144" si="74">IF(N113&lt;0,AD113,0)</f>
        <v>0.27708333333430346</v>
      </c>
      <c r="AG113" s="188">
        <f t="shared" ref="AG113:AG144" si="75">IF(N113=0,AD113,0)</f>
        <v>0</v>
      </c>
    </row>
    <row r="114" spans="2:33" ht="15" customHeight="1" x14ac:dyDescent="0.15">
      <c r="B114" s="174" t="s">
        <v>5</v>
      </c>
      <c r="C114" s="175" t="s">
        <v>15</v>
      </c>
      <c r="D114" s="176" t="str">
        <f t="shared" si="57"/>
        <v>C</v>
      </c>
      <c r="E114" s="177" t="d">
        <v>2021-07-01T20:45:00.00000020954757600</v>
      </c>
      <c r="F114" s="178" t="s">
        <v>82</v>
      </c>
      <c r="G114" s="179">
        <v>4316.04</v>
      </c>
      <c r="H114" s="179">
        <v>4306.72</v>
      </c>
      <c r="I114" s="180">
        <f t="shared" si="58"/>
        <v>9.319999999999709</v>
      </c>
      <c r="J114" s="179">
        <v>4376.6499999999996</v>
      </c>
      <c r="K114" s="177" t="d">
        <v>2021-07-05T10:24:00.00000008381903175</v>
      </c>
      <c r="L114" s="179">
        <v>4342.58</v>
      </c>
      <c r="M114" s="181">
        <f t="shared" si="59"/>
        <v>26.54</v>
      </c>
      <c r="N114" s="182">
        <f t="shared" si="60"/>
        <v>2.85</v>
      </c>
      <c r="O114" s="183">
        <f t="shared" si="61"/>
        <v>0</v>
      </c>
      <c r="P114" s="184">
        <f t="shared" si="62"/>
        <v>2.85</v>
      </c>
      <c r="Q114" s="184">
        <f t="shared" si="63"/>
        <v>0</v>
      </c>
      <c r="R11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29012.5</v>
      </c>
      <c r="T11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29012.5</v>
      </c>
      <c r="U114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14" s="187">
        <f t="shared" si="64"/>
        <v>0</v>
      </c>
      <c r="W114" s="187">
        <f t="shared" si="65"/>
        <v>0</v>
      </c>
      <c r="X114" s="187">
        <f t="shared" si="66"/>
        <v>0</v>
      </c>
      <c r="Y114" s="187">
        <f t="shared" si="67"/>
        <v>0</v>
      </c>
      <c r="Z114" s="187">
        <f t="shared" si="68"/>
        <v>2.85</v>
      </c>
      <c r="AA114" s="183">
        <f t="shared" si="69"/>
        <v>0</v>
      </c>
      <c r="AB114" s="187">
        <f t="shared" si="70"/>
        <v>0</v>
      </c>
      <c r="AC114" s="183">
        <f t="shared" si="71"/>
        <v>0</v>
      </c>
      <c r="AD114" s="188">
        <f t="shared" si="72"/>
        <v>3.5687499999985448</v>
      </c>
      <c r="AE114" s="188">
        <f t="shared" si="73"/>
        <v>3.5687499999985448</v>
      </c>
      <c r="AF114" s="188">
        <f t="shared" si="74"/>
        <v>0</v>
      </c>
      <c r="AG114" s="188">
        <f t="shared" si="75"/>
        <v>0</v>
      </c>
    </row>
    <row r="115" spans="2:33" ht="15" customHeight="1" x14ac:dyDescent="0.15">
      <c r="B115" s="174" t="s">
        <v>5</v>
      </c>
      <c r="C115" s="175" t="s">
        <v>15</v>
      </c>
      <c r="D115" s="176" t="str">
        <f t="shared" si="57"/>
        <v>C</v>
      </c>
      <c r="E115" s="177" t="d">
        <v>2021-07-01T01:15:00.00000020954757600</v>
      </c>
      <c r="F115" s="178" t="s">
        <v>82</v>
      </c>
      <c r="G115" s="179">
        <v>4303.8500000000004</v>
      </c>
      <c r="H115" s="179">
        <v>4294.3100000000004</v>
      </c>
      <c r="I115" s="180">
        <f t="shared" si="58"/>
        <v>9.5399999999999636</v>
      </c>
      <c r="J115" s="179">
        <v>4365.88</v>
      </c>
      <c r="K115" s="177" t="d">
        <v>2021-07-01T12:15:59.99999998603016475</v>
      </c>
      <c r="L115" s="179">
        <v>4303.6000000000004</v>
      </c>
      <c r="M115" s="181">
        <f t="shared" si="59"/>
        <v>-0.25</v>
      </c>
      <c r="N115" s="182">
        <f t="shared" si="60"/>
        <v>-0.03</v>
      </c>
      <c r="O115" s="183">
        <f t="shared" si="61"/>
        <v>0</v>
      </c>
      <c r="P115" s="184">
        <f t="shared" si="62"/>
        <v>0</v>
      </c>
      <c r="Q115" s="184">
        <f t="shared" si="63"/>
        <v>-0.03</v>
      </c>
      <c r="R11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28300</v>
      </c>
      <c r="T11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28307.5</v>
      </c>
      <c r="U115" s="186">
        <f ca="1">IF(Tabla336106734812[[#This Row],[Equity]]&lt;Tabla336106734812[[#This Row],[Equity Peak]],(Tabla336106734812[[#This Row],[Equity Peak]]-Tabla336106734812[[#This Row],[Equity]])/Tabla336106734812[[#This Row],[Equity Peak]],"")</f>
        <v>2.649474520886691E-4</v>
      </c>
      <c r="V115" s="187">
        <f t="shared" si="64"/>
        <v>0</v>
      </c>
      <c r="W115" s="187">
        <f t="shared" si="65"/>
        <v>0</v>
      </c>
      <c r="X115" s="187">
        <f t="shared" si="66"/>
        <v>0</v>
      </c>
      <c r="Y115" s="187">
        <f t="shared" si="67"/>
        <v>0</v>
      </c>
      <c r="Z115" s="187">
        <f t="shared" si="68"/>
        <v>-0.03</v>
      </c>
      <c r="AA115" s="183">
        <f t="shared" si="69"/>
        <v>0</v>
      </c>
      <c r="AB115" s="187">
        <f t="shared" si="70"/>
        <v>0</v>
      </c>
      <c r="AC115" s="183">
        <f t="shared" si="71"/>
        <v>0</v>
      </c>
      <c r="AD115" s="188">
        <f t="shared" si="72"/>
        <v>0.45902777777519077</v>
      </c>
      <c r="AE115" s="188">
        <f t="shared" si="73"/>
        <v>0</v>
      </c>
      <c r="AF115" s="188">
        <f t="shared" si="74"/>
        <v>0.45902777777519077</v>
      </c>
      <c r="AG115" s="188">
        <f t="shared" si="75"/>
        <v>0</v>
      </c>
    </row>
    <row r="116" spans="2:33" ht="15" customHeight="1" x14ac:dyDescent="0.15">
      <c r="B116" s="174" t="s">
        <v>5</v>
      </c>
      <c r="C116" s="175" t="s">
        <v>15</v>
      </c>
      <c r="D116" s="176" t="str">
        <f t="shared" si="57"/>
        <v>C</v>
      </c>
      <c r="E116" s="177" t="d">
        <v>2021-06-21T18:00:00.000</v>
      </c>
      <c r="F116" s="178" t="s">
        <v>82</v>
      </c>
      <c r="G116" s="179">
        <v>4216.6499999999996</v>
      </c>
      <c r="H116" s="179">
        <v>4199.6400000000003</v>
      </c>
      <c r="I116" s="180">
        <f t="shared" si="58"/>
        <v>17.009999999999309</v>
      </c>
      <c r="J116" s="179">
        <v>4327.22</v>
      </c>
      <c r="K116" s="177" t="d">
        <v>2021-06-28T16:38:59.99999987427145575</v>
      </c>
      <c r="L116" s="179">
        <v>4277.59</v>
      </c>
      <c r="M116" s="181">
        <f t="shared" si="59"/>
        <v>60.94</v>
      </c>
      <c r="N116" s="182">
        <f t="shared" si="60"/>
        <v>3.58</v>
      </c>
      <c r="O116" s="183">
        <f t="shared" si="61"/>
        <v>0</v>
      </c>
      <c r="P116" s="184">
        <f t="shared" si="62"/>
        <v>3.58</v>
      </c>
      <c r="Q116" s="184">
        <f t="shared" si="63"/>
        <v>0</v>
      </c>
      <c r="R11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28307.5</v>
      </c>
      <c r="T11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28307.5</v>
      </c>
      <c r="U116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16" s="187">
        <f t="shared" si="64"/>
        <v>0</v>
      </c>
      <c r="W116" s="187">
        <f t="shared" si="65"/>
        <v>0</v>
      </c>
      <c r="X116" s="187">
        <f t="shared" si="66"/>
        <v>0</v>
      </c>
      <c r="Y116" s="187">
        <f t="shared" si="67"/>
        <v>0</v>
      </c>
      <c r="Z116" s="187">
        <f t="shared" si="68"/>
        <v>3.58</v>
      </c>
      <c r="AA116" s="183">
        <f t="shared" si="69"/>
        <v>0</v>
      </c>
      <c r="AB116" s="187">
        <f t="shared" si="70"/>
        <v>0</v>
      </c>
      <c r="AC116" s="183">
        <f t="shared" si="71"/>
        <v>0</v>
      </c>
      <c r="AD116" s="188">
        <f t="shared" si="72"/>
        <v>6.9437499999985448</v>
      </c>
      <c r="AE116" s="188">
        <f t="shared" si="73"/>
        <v>6.9437499999985448</v>
      </c>
      <c r="AF116" s="188">
        <f t="shared" si="74"/>
        <v>0</v>
      </c>
      <c r="AG116" s="188">
        <f t="shared" si="75"/>
        <v>0</v>
      </c>
    </row>
    <row r="117" spans="2:33" ht="15" customHeight="1" x14ac:dyDescent="0.15">
      <c r="B117" s="174" t="s">
        <v>5</v>
      </c>
      <c r="C117" s="175" t="s">
        <v>13</v>
      </c>
      <c r="D117" s="176" t="str">
        <f t="shared" si="57"/>
        <v>C</v>
      </c>
      <c r="E117" s="177" t="d">
        <v>2021-06-18T13:15:00.00000020954757600</v>
      </c>
      <c r="F117" s="178" t="s">
        <v>82</v>
      </c>
      <c r="G117" s="179">
        <v>4217.25</v>
      </c>
      <c r="H117" s="179">
        <v>4230.1400000000003</v>
      </c>
      <c r="I117" s="180">
        <f t="shared" si="58"/>
        <v>12.890000000000327</v>
      </c>
      <c r="J117" s="179">
        <v>4133.4399999999996</v>
      </c>
      <c r="K117" s="177" t="d">
        <v>2021-06-18T19:09:00.00000029336660775</v>
      </c>
      <c r="L117" s="179">
        <v>4186.3100000000004</v>
      </c>
      <c r="M117" s="181">
        <f t="shared" si="59"/>
        <v>30.94</v>
      </c>
      <c r="N117" s="182">
        <f t="shared" si="60"/>
        <v>2.4</v>
      </c>
      <c r="O117" s="183">
        <f t="shared" si="61"/>
        <v>0</v>
      </c>
      <c r="P117" s="184">
        <f t="shared" si="62"/>
        <v>2.4</v>
      </c>
      <c r="Q117" s="184">
        <f t="shared" si="63"/>
        <v>0</v>
      </c>
      <c r="R11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27412.5</v>
      </c>
      <c r="T11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27412.5</v>
      </c>
      <c r="U117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17" s="187">
        <f t="shared" si="64"/>
        <v>0</v>
      </c>
      <c r="W117" s="187">
        <f t="shared" si="65"/>
        <v>0</v>
      </c>
      <c r="X117" s="187">
        <f t="shared" si="66"/>
        <v>0</v>
      </c>
      <c r="Y117" s="187">
        <f t="shared" si="67"/>
        <v>0</v>
      </c>
      <c r="Z117" s="187">
        <f t="shared" si="68"/>
        <v>2.4</v>
      </c>
      <c r="AA117" s="183">
        <f t="shared" si="69"/>
        <v>0</v>
      </c>
      <c r="AB117" s="187">
        <f t="shared" si="70"/>
        <v>0</v>
      </c>
      <c r="AC117" s="183">
        <f t="shared" si="71"/>
        <v>0</v>
      </c>
      <c r="AD117" s="188">
        <f t="shared" si="72"/>
        <v>0.24583333333430346</v>
      </c>
      <c r="AE117" s="188">
        <f t="shared" si="73"/>
        <v>0.24583333333430346</v>
      </c>
      <c r="AF117" s="188">
        <f t="shared" si="74"/>
        <v>0</v>
      </c>
      <c r="AG117" s="188">
        <f t="shared" si="75"/>
        <v>0</v>
      </c>
    </row>
    <row r="118" spans="2:33" ht="15" customHeight="1" x14ac:dyDescent="0.15">
      <c r="B118" s="174" t="s">
        <v>5</v>
      </c>
      <c r="C118" s="175" t="s">
        <v>13</v>
      </c>
      <c r="D118" s="176" t="str">
        <f t="shared" si="57"/>
        <v>C</v>
      </c>
      <c r="E118" s="177" t="d">
        <v>2021-06-16T19:30:00.000</v>
      </c>
      <c r="F118" s="178" t="s">
        <v>82</v>
      </c>
      <c r="G118" s="179">
        <v>4238.37</v>
      </c>
      <c r="H118" s="179">
        <v>4248.66</v>
      </c>
      <c r="I118" s="180">
        <f t="shared" si="58"/>
        <v>10.289999999999964</v>
      </c>
      <c r="J118" s="179">
        <v>4171.47</v>
      </c>
      <c r="K118" s="177" t="d">
        <v>2021-06-16T21:52:00.00000011175870900</v>
      </c>
      <c r="L118" s="179">
        <v>4214.66</v>
      </c>
      <c r="M118" s="181">
        <f t="shared" si="59"/>
        <v>23.71</v>
      </c>
      <c r="N118" s="182">
        <f t="shared" si="60"/>
        <v>2.2999999999999998</v>
      </c>
      <c r="O118" s="183">
        <f t="shared" si="61"/>
        <v>0</v>
      </c>
      <c r="P118" s="184">
        <f t="shared" si="62"/>
        <v>2.2999999999999998</v>
      </c>
      <c r="Q118" s="184">
        <f t="shared" si="63"/>
        <v>0</v>
      </c>
      <c r="R11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26812.5</v>
      </c>
      <c r="T11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18" s="186">
        <f ca="1">IF(Tabla336106734812[[#This Row],[Equity]]&lt;Tabla336106734812[[#This Row],[Equity Peak]],(Tabla336106734812[[#This Row],[Equity Peak]]-Tabla336106734812[[#This Row],[Equity]])/Tabla336106734812[[#This Row],[Equity Peak]],"")</f>
        <v>1.7677230261952739E-2</v>
      </c>
      <c r="V118" s="187">
        <f t="shared" si="64"/>
        <v>0</v>
      </c>
      <c r="W118" s="187">
        <f t="shared" si="65"/>
        <v>0</v>
      </c>
      <c r="X118" s="187">
        <f t="shared" si="66"/>
        <v>0</v>
      </c>
      <c r="Y118" s="187">
        <f t="shared" si="67"/>
        <v>0</v>
      </c>
      <c r="Z118" s="187">
        <f t="shared" si="68"/>
        <v>2.2999999999999998</v>
      </c>
      <c r="AA118" s="183">
        <f t="shared" si="69"/>
        <v>0</v>
      </c>
      <c r="AB118" s="187">
        <f t="shared" si="70"/>
        <v>0</v>
      </c>
      <c r="AC118" s="183">
        <f t="shared" si="71"/>
        <v>0</v>
      </c>
      <c r="AD118" s="188">
        <f t="shared" si="72"/>
        <v>9.8611111112404615E-2</v>
      </c>
      <c r="AE118" s="188">
        <f t="shared" si="73"/>
        <v>9.8611111112404615E-2</v>
      </c>
      <c r="AF118" s="188">
        <f t="shared" si="74"/>
        <v>0</v>
      </c>
      <c r="AG118" s="188">
        <f t="shared" si="75"/>
        <v>0</v>
      </c>
    </row>
    <row r="119" spans="2:33" ht="15" customHeight="1" x14ac:dyDescent="0.15">
      <c r="B119" s="174" t="s">
        <v>5</v>
      </c>
      <c r="C119" s="175" t="s">
        <v>15</v>
      </c>
      <c r="D119" s="176" t="str">
        <f t="shared" si="57"/>
        <v>C</v>
      </c>
      <c r="E119" s="177" t="d">
        <v>2021-06-15T03:30:00.00000020954757600</v>
      </c>
      <c r="F119" s="178" t="s">
        <v>82</v>
      </c>
      <c r="G119" s="179">
        <v>4259.76</v>
      </c>
      <c r="H119" s="179">
        <v>4248.4799999999996</v>
      </c>
      <c r="I119" s="180">
        <f t="shared" si="58"/>
        <v>11.280000000000655</v>
      </c>
      <c r="J119" s="179">
        <v>4333.09</v>
      </c>
      <c r="K119" s="177" t="d">
        <v>2021-06-15T13:09:00.00000029336660775</v>
      </c>
      <c r="L119" s="179">
        <v>4256.1000000000004</v>
      </c>
      <c r="M119" s="181">
        <f t="shared" si="59"/>
        <v>-3.66</v>
      </c>
      <c r="N119" s="182">
        <f t="shared" si="60"/>
        <v>-0.32</v>
      </c>
      <c r="O119" s="183">
        <f t="shared" si="61"/>
        <v>0</v>
      </c>
      <c r="P119" s="184">
        <f t="shared" si="62"/>
        <v>0</v>
      </c>
      <c r="Q119" s="184">
        <f t="shared" si="63"/>
        <v>-0.32</v>
      </c>
      <c r="R11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1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26237.5</v>
      </c>
      <c r="T11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19" s="186">
        <f ca="1">IF(Tabla336106734812[[#This Row],[Equity]]&lt;Tabla336106734812[[#This Row],[Equity Peak]],(Tabla336106734812[[#This Row],[Equity Peak]]-Tabla336106734812[[#This Row],[Equity]])/Tabla336106734812[[#This Row],[Equity Peak]],"")</f>
        <v>3.8743359589668437E-2</v>
      </c>
      <c r="V119" s="187">
        <f t="shared" si="64"/>
        <v>0</v>
      </c>
      <c r="W119" s="187">
        <f t="shared" si="65"/>
        <v>0</v>
      </c>
      <c r="X119" s="187">
        <f t="shared" si="66"/>
        <v>0</v>
      </c>
      <c r="Y119" s="187">
        <f t="shared" si="67"/>
        <v>0</v>
      </c>
      <c r="Z119" s="187">
        <f t="shared" si="68"/>
        <v>-0.32</v>
      </c>
      <c r="AA119" s="183">
        <f t="shared" si="69"/>
        <v>0</v>
      </c>
      <c r="AB119" s="187">
        <f t="shared" si="70"/>
        <v>0</v>
      </c>
      <c r="AC119" s="183">
        <f t="shared" si="71"/>
        <v>0</v>
      </c>
      <c r="AD119" s="188">
        <f t="shared" si="72"/>
        <v>0.40208333333430346</v>
      </c>
      <c r="AE119" s="188">
        <f t="shared" si="73"/>
        <v>0</v>
      </c>
      <c r="AF119" s="188">
        <f t="shared" si="74"/>
        <v>0.40208333333430346</v>
      </c>
      <c r="AG119" s="188">
        <f t="shared" si="75"/>
        <v>0</v>
      </c>
    </row>
    <row r="120" spans="2:33" ht="15" customHeight="1" x14ac:dyDescent="0.15">
      <c r="B120" s="174" t="s">
        <v>5</v>
      </c>
      <c r="C120" s="175" t="s">
        <v>15</v>
      </c>
      <c r="D120" s="176" t="str">
        <f t="shared" si="57"/>
        <v>C</v>
      </c>
      <c r="E120" s="177" t="d">
        <v>2021-06-14T01:15:00.00000020954757600</v>
      </c>
      <c r="F120" s="178" t="s">
        <v>82</v>
      </c>
      <c r="G120" s="179">
        <v>4250.62</v>
      </c>
      <c r="H120" s="179">
        <v>4238.93</v>
      </c>
      <c r="I120" s="180">
        <f t="shared" si="58"/>
        <v>11.6899999999996</v>
      </c>
      <c r="J120" s="179">
        <v>4326.59</v>
      </c>
      <c r="K120" s="177" t="d">
        <v>2021-06-14T15:53:59.99999987427145575</v>
      </c>
      <c r="L120" s="179">
        <v>4243.67</v>
      </c>
      <c r="M120" s="181">
        <f t="shared" si="59"/>
        <v>-6.95</v>
      </c>
      <c r="N120" s="182">
        <f t="shared" si="60"/>
        <v>-0.59</v>
      </c>
      <c r="O120" s="183">
        <f t="shared" si="61"/>
        <v>0</v>
      </c>
      <c r="P120" s="184">
        <f t="shared" si="62"/>
        <v>0</v>
      </c>
      <c r="Q120" s="184">
        <f t="shared" si="63"/>
        <v>-0.59</v>
      </c>
      <c r="R12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26317.5</v>
      </c>
      <c r="T12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20" s="186">
        <f ca="1">IF(Tabla336106734812[[#This Row],[Equity]]&lt;Tabla336106734812[[#This Row],[Equity Peak]],(Tabla336106734812[[#This Row],[Equity Peak]]-Tabla336106734812[[#This Row],[Equity]])/Tabla336106734812[[#This Row],[Equity Peak]],"")</f>
        <v>3.5812419857116688E-2</v>
      </c>
      <c r="V120" s="187">
        <f t="shared" si="64"/>
        <v>0</v>
      </c>
      <c r="W120" s="187">
        <f t="shared" si="65"/>
        <v>0</v>
      </c>
      <c r="X120" s="187">
        <f t="shared" si="66"/>
        <v>0</v>
      </c>
      <c r="Y120" s="187">
        <f t="shared" si="67"/>
        <v>0</v>
      </c>
      <c r="Z120" s="187">
        <f t="shared" si="68"/>
        <v>-0.59</v>
      </c>
      <c r="AA120" s="183">
        <f t="shared" si="69"/>
        <v>0</v>
      </c>
      <c r="AB120" s="187">
        <f t="shared" si="70"/>
        <v>0</v>
      </c>
      <c r="AC120" s="183">
        <f t="shared" si="71"/>
        <v>0</v>
      </c>
      <c r="AD120" s="188">
        <f t="shared" si="72"/>
        <v>0.61041666666278616</v>
      </c>
      <c r="AE120" s="188">
        <f t="shared" si="73"/>
        <v>0</v>
      </c>
      <c r="AF120" s="188">
        <f t="shared" si="74"/>
        <v>0.61041666666278616</v>
      </c>
      <c r="AG120" s="188">
        <f t="shared" si="75"/>
        <v>0</v>
      </c>
    </row>
    <row r="121" spans="2:33" ht="15" customHeight="1" x14ac:dyDescent="0.15">
      <c r="B121" s="174" t="s">
        <v>5</v>
      </c>
      <c r="C121" s="175" t="s">
        <v>15</v>
      </c>
      <c r="D121" s="176" t="str">
        <f t="shared" si="57"/>
        <v>C</v>
      </c>
      <c r="E121" s="177" t="d">
        <v>2021-06-10T15:59:59.99999979045242400</v>
      </c>
      <c r="F121" s="178" t="s">
        <v>82</v>
      </c>
      <c r="G121" s="179">
        <v>4232.21</v>
      </c>
      <c r="H121" s="179">
        <v>4220.33</v>
      </c>
      <c r="I121" s="180">
        <f t="shared" si="58"/>
        <v>11.880000000000109</v>
      </c>
      <c r="J121" s="179">
        <v>4309.45</v>
      </c>
      <c r="K121" s="177" t="d">
        <v>2021-06-10T17:39:00.00000029336660775</v>
      </c>
      <c r="L121" s="179">
        <v>4234.58</v>
      </c>
      <c r="M121" s="181">
        <f t="shared" si="59"/>
        <v>2.37</v>
      </c>
      <c r="N121" s="182">
        <f t="shared" si="60"/>
        <v>0.2</v>
      </c>
      <c r="O121" s="183">
        <f t="shared" si="61"/>
        <v>0</v>
      </c>
      <c r="P121" s="184">
        <f t="shared" si="62"/>
        <v>0.2</v>
      </c>
      <c r="Q121" s="184">
        <f t="shared" si="63"/>
        <v>0</v>
      </c>
      <c r="R12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26465</v>
      </c>
      <c r="T12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21" s="186">
        <f ca="1">IF(Tabla336106734812[[#This Row],[Equity]]&lt;Tabla336106734812[[#This Row],[Equity Peak]],(Tabla336106734812[[#This Row],[Equity Peak]]-Tabla336106734812[[#This Row],[Equity]])/Tabla336106734812[[#This Row],[Equity Peak]],"")</f>
        <v>3.04084997252244E-2</v>
      </c>
      <c r="V121" s="187">
        <f t="shared" si="64"/>
        <v>0</v>
      </c>
      <c r="W121" s="187">
        <f t="shared" si="65"/>
        <v>0</v>
      </c>
      <c r="X121" s="187">
        <f t="shared" si="66"/>
        <v>0</v>
      </c>
      <c r="Y121" s="187">
        <f t="shared" si="67"/>
        <v>0</v>
      </c>
      <c r="Z121" s="187">
        <f t="shared" si="68"/>
        <v>0.2</v>
      </c>
      <c r="AA121" s="183">
        <f t="shared" si="69"/>
        <v>0</v>
      </c>
      <c r="AB121" s="187">
        <f t="shared" si="70"/>
        <v>0</v>
      </c>
      <c r="AC121" s="183">
        <f t="shared" si="71"/>
        <v>0</v>
      </c>
      <c r="AD121" s="188">
        <f t="shared" si="72"/>
        <v>6.8750000005820766E-2</v>
      </c>
      <c r="AE121" s="188">
        <f t="shared" si="73"/>
        <v>6.8750000005820766E-2</v>
      </c>
      <c r="AF121" s="188">
        <f t="shared" si="74"/>
        <v>0</v>
      </c>
      <c r="AG121" s="188">
        <f t="shared" si="75"/>
        <v>0</v>
      </c>
    </row>
    <row r="122" spans="2:33" ht="15" customHeight="1" x14ac:dyDescent="0.15">
      <c r="B122" s="174" t="s">
        <v>5</v>
      </c>
      <c r="C122" s="175" t="s">
        <v>13</v>
      </c>
      <c r="D122" s="176" t="str">
        <f t="shared" si="57"/>
        <v>C</v>
      </c>
      <c r="E122" s="177" t="d">
        <v>2021-06-10T10:15:00.00000020954757600</v>
      </c>
      <c r="F122" s="178" t="s">
        <v>82</v>
      </c>
      <c r="G122" s="179">
        <v>4215.05</v>
      </c>
      <c r="H122" s="179">
        <v>4226.8</v>
      </c>
      <c r="I122" s="180">
        <f t="shared" si="58"/>
        <v>11.75</v>
      </c>
      <c r="J122" s="179">
        <v>4138.67</v>
      </c>
      <c r="K122" s="177" t="d">
        <v>2021-06-10T15:39:00.00000008381903175</v>
      </c>
      <c r="L122" s="179">
        <v>4226.8</v>
      </c>
      <c r="M122" s="181">
        <f t="shared" si="59"/>
        <v>-11.75</v>
      </c>
      <c r="N122" s="182">
        <f t="shared" si="60"/>
        <v>-1</v>
      </c>
      <c r="O122" s="183">
        <f t="shared" si="61"/>
        <v>0</v>
      </c>
      <c r="P122" s="184">
        <f t="shared" si="62"/>
        <v>0</v>
      </c>
      <c r="Q122" s="184">
        <f t="shared" si="63"/>
        <v>-1</v>
      </c>
      <c r="R12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26415</v>
      </c>
      <c r="T12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22" s="186">
        <f ca="1">IF(Tabla336106734812[[#This Row],[Equity]]&lt;Tabla336106734812[[#This Row],[Equity Peak]],(Tabla336106734812[[#This Row],[Equity Peak]]-Tabla336106734812[[#This Row],[Equity]])/Tabla336106734812[[#This Row],[Equity Peak]],"")</f>
        <v>3.2240337058069245E-2</v>
      </c>
      <c r="V122" s="187">
        <f t="shared" si="64"/>
        <v>0</v>
      </c>
      <c r="W122" s="187">
        <f t="shared" si="65"/>
        <v>0</v>
      </c>
      <c r="X122" s="187">
        <f t="shared" si="66"/>
        <v>0</v>
      </c>
      <c r="Y122" s="187">
        <f t="shared" si="67"/>
        <v>0</v>
      </c>
      <c r="Z122" s="187">
        <f t="shared" si="68"/>
        <v>-1</v>
      </c>
      <c r="AA122" s="183">
        <f t="shared" si="69"/>
        <v>0</v>
      </c>
      <c r="AB122" s="187">
        <f t="shared" si="70"/>
        <v>0</v>
      </c>
      <c r="AC122" s="183">
        <f t="shared" si="71"/>
        <v>0</v>
      </c>
      <c r="AD122" s="188">
        <f t="shared" si="72"/>
        <v>0.22499999999854481</v>
      </c>
      <c r="AE122" s="188">
        <f t="shared" si="73"/>
        <v>0</v>
      </c>
      <c r="AF122" s="188">
        <f t="shared" si="74"/>
        <v>0.22499999999854481</v>
      </c>
      <c r="AG122" s="188">
        <f t="shared" si="75"/>
        <v>0</v>
      </c>
    </row>
    <row r="123" spans="2:33" ht="15" customHeight="1" x14ac:dyDescent="0.15">
      <c r="B123" s="174" t="s">
        <v>5</v>
      </c>
      <c r="C123" s="175" t="s">
        <v>15</v>
      </c>
      <c r="D123" s="176" t="str">
        <f t="shared" si="57"/>
        <v>C</v>
      </c>
      <c r="E123" s="177" t="d">
        <v>2021-06-09T15:00:00.000</v>
      </c>
      <c r="F123" s="178" t="s">
        <v>82</v>
      </c>
      <c r="G123" s="179">
        <v>4234.58</v>
      </c>
      <c r="H123" s="179">
        <v>4221.92</v>
      </c>
      <c r="I123" s="180">
        <f t="shared" si="58"/>
        <v>12.659999999999854</v>
      </c>
      <c r="J123" s="179">
        <v>4316.8599999999997</v>
      </c>
      <c r="K123" s="177" t="d">
        <v>2021-06-09T22:27:00.0000000419095125</v>
      </c>
      <c r="L123" s="179">
        <v>4223.6000000000004</v>
      </c>
      <c r="M123" s="181">
        <f t="shared" si="59"/>
        <v>-10.98</v>
      </c>
      <c r="N123" s="182">
        <f t="shared" si="60"/>
        <v>-0.87</v>
      </c>
      <c r="O123" s="183">
        <f t="shared" si="61"/>
        <v>0</v>
      </c>
      <c r="P123" s="184">
        <f t="shared" si="62"/>
        <v>0</v>
      </c>
      <c r="Q123" s="184">
        <f t="shared" si="63"/>
        <v>-0.87</v>
      </c>
      <c r="R12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26665</v>
      </c>
      <c r="T12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23" s="186">
        <f ca="1">IF(Tabla336106734812[[#This Row],[Equity]]&lt;Tabla336106734812[[#This Row],[Equity Peak]],(Tabla336106734812[[#This Row],[Equity Peak]]-Tabla336106734812[[#This Row],[Equity]])/Tabla336106734812[[#This Row],[Equity Peak]],"")</f>
        <v>2.3081150393845028E-2</v>
      </c>
      <c r="V123" s="187">
        <f t="shared" si="64"/>
        <v>0</v>
      </c>
      <c r="W123" s="187">
        <f t="shared" si="65"/>
        <v>0</v>
      </c>
      <c r="X123" s="187">
        <f t="shared" si="66"/>
        <v>0</v>
      </c>
      <c r="Y123" s="187">
        <f t="shared" si="67"/>
        <v>0</v>
      </c>
      <c r="Z123" s="187">
        <f t="shared" si="68"/>
        <v>-0.87</v>
      </c>
      <c r="AA123" s="183">
        <f t="shared" si="69"/>
        <v>0</v>
      </c>
      <c r="AB123" s="187">
        <f t="shared" si="70"/>
        <v>0</v>
      </c>
      <c r="AC123" s="183">
        <f t="shared" si="71"/>
        <v>0</v>
      </c>
      <c r="AD123" s="188">
        <f t="shared" si="72"/>
        <v>0.31041666666715173</v>
      </c>
      <c r="AE123" s="188">
        <f t="shared" si="73"/>
        <v>0</v>
      </c>
      <c r="AF123" s="188">
        <f t="shared" si="74"/>
        <v>0.31041666666715173</v>
      </c>
      <c r="AG123" s="188">
        <f t="shared" si="75"/>
        <v>0</v>
      </c>
    </row>
    <row r="124" spans="2:33" ht="15" customHeight="1" x14ac:dyDescent="0.15">
      <c r="B124" s="174" t="s">
        <v>5</v>
      </c>
      <c r="C124" s="175" t="s">
        <v>15</v>
      </c>
      <c r="D124" s="176" t="str">
        <f t="shared" si="57"/>
        <v>C</v>
      </c>
      <c r="E124" s="177" t="d">
        <v>2021-06-08T15:30:00.00000020954757600</v>
      </c>
      <c r="F124" s="178" t="s">
        <v>82</v>
      </c>
      <c r="G124" s="179">
        <v>4237.76</v>
      </c>
      <c r="H124" s="179">
        <v>4224.99</v>
      </c>
      <c r="I124" s="180">
        <f t="shared" si="58"/>
        <v>12.770000000000437</v>
      </c>
      <c r="J124" s="179">
        <v>4320.76</v>
      </c>
      <c r="K124" s="177" t="d">
        <v>2021-06-08T16:54:00.00000029336660775</v>
      </c>
      <c r="L124" s="179">
        <v>4224.99</v>
      </c>
      <c r="M124" s="181">
        <f t="shared" si="59"/>
        <v>-12.77</v>
      </c>
      <c r="N124" s="182">
        <f t="shared" si="60"/>
        <v>-1</v>
      </c>
      <c r="O124" s="183">
        <f t="shared" si="61"/>
        <v>0</v>
      </c>
      <c r="P124" s="184">
        <f t="shared" si="62"/>
        <v>0</v>
      </c>
      <c r="Q124" s="184">
        <f t="shared" si="63"/>
        <v>-1</v>
      </c>
      <c r="R12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26882.5</v>
      </c>
      <c r="T12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24" s="186">
        <f ca="1">IF(Tabla336106734812[[#This Row],[Equity]]&lt;Tabla336106734812[[#This Row],[Equity Peak]],(Tabla336106734812[[#This Row],[Equity Peak]]-Tabla336106734812[[#This Row],[Equity]])/Tabla336106734812[[#This Row],[Equity Peak]],"")</f>
        <v>1.5112657995969957E-2</v>
      </c>
      <c r="V124" s="187">
        <f t="shared" si="64"/>
        <v>0</v>
      </c>
      <c r="W124" s="187">
        <f t="shared" si="65"/>
        <v>0</v>
      </c>
      <c r="X124" s="187">
        <f t="shared" si="66"/>
        <v>0</v>
      </c>
      <c r="Y124" s="187">
        <f t="shared" si="67"/>
        <v>0</v>
      </c>
      <c r="Z124" s="187">
        <f t="shared" si="68"/>
        <v>-1</v>
      </c>
      <c r="AA124" s="183">
        <f t="shared" si="69"/>
        <v>0</v>
      </c>
      <c r="AB124" s="187">
        <f t="shared" si="70"/>
        <v>0</v>
      </c>
      <c r="AC124" s="183">
        <f t="shared" si="71"/>
        <v>0</v>
      </c>
      <c r="AD124" s="188">
        <f t="shared" si="72"/>
        <v>5.8333333334303461E-2</v>
      </c>
      <c r="AE124" s="188">
        <f t="shared" si="73"/>
        <v>0</v>
      </c>
      <c r="AF124" s="188">
        <f t="shared" si="74"/>
        <v>5.8333333334303461E-2</v>
      </c>
      <c r="AG124" s="188">
        <f t="shared" si="75"/>
        <v>0</v>
      </c>
    </row>
    <row r="125" spans="2:33" ht="15" customHeight="1" x14ac:dyDescent="0.15">
      <c r="B125" s="174" t="s">
        <v>5</v>
      </c>
      <c r="C125" s="175" t="s">
        <v>15</v>
      </c>
      <c r="D125" s="176" t="str">
        <f t="shared" si="57"/>
        <v>C</v>
      </c>
      <c r="E125" s="177" t="d">
        <v>2021-06-04T15:45:00.000</v>
      </c>
      <c r="F125" s="178" t="s">
        <v>82</v>
      </c>
      <c r="G125" s="179">
        <v>4208.87</v>
      </c>
      <c r="H125" s="179">
        <v>4196.46</v>
      </c>
      <c r="I125" s="180">
        <f t="shared" si="58"/>
        <v>12.409999999999854</v>
      </c>
      <c r="J125" s="179">
        <v>4289.5600000000004</v>
      </c>
      <c r="K125" s="177" t="d">
        <v>2021-06-07T10:06:59.99999990221113300</v>
      </c>
      <c r="L125" s="179">
        <v>4219.04</v>
      </c>
      <c r="M125" s="181">
        <f t="shared" si="59"/>
        <v>10.17</v>
      </c>
      <c r="N125" s="182">
        <f t="shared" si="60"/>
        <v>0.82</v>
      </c>
      <c r="O125" s="183">
        <f t="shared" si="61"/>
        <v>0</v>
      </c>
      <c r="P125" s="184">
        <f t="shared" si="62"/>
        <v>0.82</v>
      </c>
      <c r="Q125" s="184">
        <f t="shared" si="63"/>
        <v>0</v>
      </c>
      <c r="R12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27132.5</v>
      </c>
      <c r="T12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25" s="186">
        <f ca="1">IF(Tabla336106734812[[#This Row],[Equity]]&lt;Tabla336106734812[[#This Row],[Equity Peak]],(Tabla336106734812[[#This Row],[Equity Peak]]-Tabla336106734812[[#This Row],[Equity]])/Tabla336106734812[[#This Row],[Equity Peak]],"")</f>
        <v>5.9534713317457412E-3</v>
      </c>
      <c r="V125" s="187">
        <f t="shared" si="64"/>
        <v>0</v>
      </c>
      <c r="W125" s="187">
        <f t="shared" si="65"/>
        <v>0</v>
      </c>
      <c r="X125" s="187">
        <f t="shared" si="66"/>
        <v>0</v>
      </c>
      <c r="Y125" s="187">
        <f t="shared" si="67"/>
        <v>0</v>
      </c>
      <c r="Z125" s="187">
        <f t="shared" si="68"/>
        <v>0.82</v>
      </c>
      <c r="AA125" s="183">
        <f t="shared" si="69"/>
        <v>0</v>
      </c>
      <c r="AB125" s="187">
        <f t="shared" si="70"/>
        <v>0</v>
      </c>
      <c r="AC125" s="183">
        <f t="shared" si="71"/>
        <v>0</v>
      </c>
      <c r="AD125" s="188">
        <f t="shared" si="72"/>
        <v>2.765277777776646</v>
      </c>
      <c r="AE125" s="188">
        <f t="shared" si="73"/>
        <v>2.765277777776646</v>
      </c>
      <c r="AF125" s="188">
        <f t="shared" si="74"/>
        <v>0</v>
      </c>
      <c r="AG125" s="188">
        <f t="shared" si="75"/>
        <v>0</v>
      </c>
    </row>
    <row r="126" spans="2:33" ht="15" customHeight="1" x14ac:dyDescent="0.15">
      <c r="B126" s="174" t="s">
        <v>5</v>
      </c>
      <c r="C126" s="175" t="s">
        <v>13</v>
      </c>
      <c r="D126" s="176" t="str">
        <f t="shared" si="57"/>
        <v>C</v>
      </c>
      <c r="E126" s="177" t="d">
        <v>2021-06-03T13:15:00.00000020954757600</v>
      </c>
      <c r="F126" s="178" t="s">
        <v>82</v>
      </c>
      <c r="G126" s="179">
        <v>4192.41</v>
      </c>
      <c r="H126" s="179">
        <v>4203.2</v>
      </c>
      <c r="I126" s="180">
        <f t="shared" si="58"/>
        <v>10.789999999999964</v>
      </c>
      <c r="J126" s="179">
        <v>4122.26</v>
      </c>
      <c r="K126" s="177" t="d">
        <v>2021-06-03T16:15:00.00000020954757600</v>
      </c>
      <c r="L126" s="179">
        <v>4185.84</v>
      </c>
      <c r="M126" s="181">
        <f t="shared" si="59"/>
        <v>6.57</v>
      </c>
      <c r="N126" s="182">
        <f t="shared" si="60"/>
        <v>0.61</v>
      </c>
      <c r="O126" s="183">
        <f t="shared" si="61"/>
        <v>0</v>
      </c>
      <c r="P126" s="184">
        <f t="shared" si="62"/>
        <v>0.61</v>
      </c>
      <c r="Q126" s="184">
        <f t="shared" si="63"/>
        <v>0</v>
      </c>
      <c r="R12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26927.5</v>
      </c>
      <c r="T12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26" s="186">
        <f ca="1">IF(Tabla336106734812[[#This Row],[Equity]]&lt;Tabla336106734812[[#This Row],[Equity Peak]],(Tabla336106734812[[#This Row],[Equity Peak]]-Tabla336106734812[[#This Row],[Equity]])/Tabla336106734812[[#This Row],[Equity Peak]],"")</f>
        <v>1.3464004396409599E-2</v>
      </c>
      <c r="V126" s="187">
        <f t="shared" si="64"/>
        <v>0</v>
      </c>
      <c r="W126" s="187">
        <f t="shared" si="65"/>
        <v>0</v>
      </c>
      <c r="X126" s="187">
        <f t="shared" si="66"/>
        <v>0</v>
      </c>
      <c r="Y126" s="187">
        <f t="shared" si="67"/>
        <v>0</v>
      </c>
      <c r="Z126" s="187">
        <f t="shared" si="68"/>
        <v>0.61</v>
      </c>
      <c r="AA126" s="183">
        <f t="shared" si="69"/>
        <v>0</v>
      </c>
      <c r="AB126" s="187">
        <f t="shared" si="70"/>
        <v>0</v>
      </c>
      <c r="AC126" s="183">
        <f t="shared" si="71"/>
        <v>0</v>
      </c>
      <c r="AD126" s="188">
        <f t="shared" si="72"/>
        <v>0.125</v>
      </c>
      <c r="AE126" s="188">
        <f t="shared" si="73"/>
        <v>0.125</v>
      </c>
      <c r="AF126" s="188">
        <f t="shared" si="74"/>
        <v>0</v>
      </c>
      <c r="AG126" s="188">
        <f t="shared" si="75"/>
        <v>0</v>
      </c>
    </row>
    <row r="127" spans="2:33" ht="15" customHeight="1" x14ac:dyDescent="0.15">
      <c r="B127" s="174" t="s">
        <v>5</v>
      </c>
      <c r="C127" s="175" t="s">
        <v>15</v>
      </c>
      <c r="D127" s="176" t="str">
        <f t="shared" si="57"/>
        <v>C</v>
      </c>
      <c r="E127" s="177" t="d">
        <v>2021-06-02T15:30:00.00000020954757600</v>
      </c>
      <c r="F127" s="178" t="s">
        <v>82</v>
      </c>
      <c r="G127" s="179">
        <v>4208.3599999999997</v>
      </c>
      <c r="H127" s="179">
        <v>4197.24</v>
      </c>
      <c r="I127" s="180">
        <f t="shared" si="58"/>
        <v>11.119999999999891</v>
      </c>
      <c r="J127" s="179">
        <v>4280.67</v>
      </c>
      <c r="K127" s="177" t="d">
        <v>2021-06-02T20:22:00.00000011175870900</v>
      </c>
      <c r="L127" s="179">
        <v>4205.1099999999997</v>
      </c>
      <c r="M127" s="181">
        <f t="shared" si="59"/>
        <v>-3.25</v>
      </c>
      <c r="N127" s="182">
        <f t="shared" si="60"/>
        <v>-0.28999999999999998</v>
      </c>
      <c r="O127" s="183">
        <f t="shared" si="61"/>
        <v>0</v>
      </c>
      <c r="P127" s="184">
        <f t="shared" si="62"/>
        <v>0</v>
      </c>
      <c r="Q127" s="184">
        <f t="shared" si="63"/>
        <v>-0.28999999999999998</v>
      </c>
      <c r="R12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26775</v>
      </c>
      <c r="T12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27" s="186">
        <f ca="1">IF(Tabla336106734812[[#This Row],[Equity]]&lt;Tabla336106734812[[#This Row],[Equity Peak]],(Tabla336106734812[[#This Row],[Equity Peak]]-Tabla336106734812[[#This Row],[Equity]])/Tabla336106734812[[#This Row],[Equity Peak]],"")</f>
        <v>1.9051108261586371E-2</v>
      </c>
      <c r="V127" s="187">
        <f t="shared" si="64"/>
        <v>0</v>
      </c>
      <c r="W127" s="187">
        <f t="shared" si="65"/>
        <v>0</v>
      </c>
      <c r="X127" s="187">
        <f t="shared" si="66"/>
        <v>0</v>
      </c>
      <c r="Y127" s="187">
        <f t="shared" si="67"/>
        <v>0</v>
      </c>
      <c r="Z127" s="187">
        <f t="shared" si="68"/>
        <v>-0.28999999999999998</v>
      </c>
      <c r="AA127" s="183">
        <f t="shared" si="69"/>
        <v>0</v>
      </c>
      <c r="AB127" s="187">
        <f t="shared" si="70"/>
        <v>0</v>
      </c>
      <c r="AC127" s="183">
        <f t="shared" si="71"/>
        <v>0</v>
      </c>
      <c r="AD127" s="188">
        <f t="shared" si="72"/>
        <v>0.20277777777664596</v>
      </c>
      <c r="AE127" s="188">
        <f t="shared" si="73"/>
        <v>0</v>
      </c>
      <c r="AF127" s="188">
        <f t="shared" si="74"/>
        <v>0.20277777777664596</v>
      </c>
      <c r="AG127" s="188">
        <f t="shared" si="75"/>
        <v>0</v>
      </c>
    </row>
    <row r="128" spans="2:33" ht="15" customHeight="1" x14ac:dyDescent="0.15">
      <c r="B128" s="174" t="s">
        <v>5</v>
      </c>
      <c r="C128" s="175" t="s">
        <v>13</v>
      </c>
      <c r="D128" s="176" t="str">
        <f t="shared" si="57"/>
        <v>C</v>
      </c>
      <c r="E128" s="177" t="d">
        <v>2021-06-02T01:15:00.00000020954757600</v>
      </c>
      <c r="F128" s="178" t="s">
        <v>82</v>
      </c>
      <c r="G128" s="179">
        <v>4197.08</v>
      </c>
      <c r="H128" s="179">
        <v>4208.47</v>
      </c>
      <c r="I128" s="180">
        <f t="shared" si="58"/>
        <v>11.390000000000327</v>
      </c>
      <c r="J128" s="179">
        <v>4123.03</v>
      </c>
      <c r="K128" s="177" t="d">
        <v>2021-06-02T10:09:00.00000029336660775</v>
      </c>
      <c r="L128" s="179">
        <v>4206.04</v>
      </c>
      <c r="M128" s="181">
        <f t="shared" si="59"/>
        <v>-8.9600000000000009</v>
      </c>
      <c r="N128" s="182">
        <f t="shared" si="60"/>
        <v>-0.79</v>
      </c>
      <c r="O128" s="183">
        <f t="shared" si="61"/>
        <v>0</v>
      </c>
      <c r="P128" s="184">
        <f t="shared" si="62"/>
        <v>0</v>
      </c>
      <c r="Q128" s="184">
        <f t="shared" si="63"/>
        <v>-0.79</v>
      </c>
      <c r="R12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26847.5</v>
      </c>
      <c r="T12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28" s="186">
        <f ca="1">IF(Tabla336106734812[[#This Row],[Equity]]&lt;Tabla336106734812[[#This Row],[Equity Peak]],(Tabla336106734812[[#This Row],[Equity Peak]]-Tabla336106734812[[#This Row],[Equity]])/Tabla336106734812[[#This Row],[Equity Peak]],"")</f>
        <v>1.6394944128961347E-2</v>
      </c>
      <c r="V128" s="187">
        <f t="shared" si="64"/>
        <v>0</v>
      </c>
      <c r="W128" s="187">
        <f t="shared" si="65"/>
        <v>0</v>
      </c>
      <c r="X128" s="187">
        <f t="shared" si="66"/>
        <v>0</v>
      </c>
      <c r="Y128" s="187">
        <f t="shared" si="67"/>
        <v>0</v>
      </c>
      <c r="Z128" s="187">
        <f t="shared" si="68"/>
        <v>-0.79</v>
      </c>
      <c r="AA128" s="183">
        <f t="shared" si="69"/>
        <v>0</v>
      </c>
      <c r="AB128" s="187">
        <f t="shared" si="70"/>
        <v>0</v>
      </c>
      <c r="AC128" s="183">
        <f t="shared" si="71"/>
        <v>0</v>
      </c>
      <c r="AD128" s="188">
        <f t="shared" si="72"/>
        <v>0.37083333333430346</v>
      </c>
      <c r="AE128" s="188">
        <f t="shared" si="73"/>
        <v>0</v>
      </c>
      <c r="AF128" s="188">
        <f t="shared" si="74"/>
        <v>0.37083333333430346</v>
      </c>
      <c r="AG128" s="188">
        <f t="shared" si="75"/>
        <v>0</v>
      </c>
    </row>
    <row r="129" spans="2:33" ht="15" customHeight="1" x14ac:dyDescent="0.15">
      <c r="B129" s="174" t="s">
        <v>5</v>
      </c>
      <c r="C129" s="175" t="s">
        <v>15</v>
      </c>
      <c r="D129" s="176" t="str">
        <f t="shared" si="57"/>
        <v>C</v>
      </c>
      <c r="E129" s="177" t="d">
        <v>2021-06-01T09:45:00.000</v>
      </c>
      <c r="F129" s="178" t="s">
        <v>82</v>
      </c>
      <c r="G129" s="179">
        <v>4210.7299999999996</v>
      </c>
      <c r="H129" s="179">
        <v>4199.38</v>
      </c>
      <c r="I129" s="180">
        <f t="shared" si="58"/>
        <v>11.349999999999454</v>
      </c>
      <c r="J129" s="179">
        <v>4284.5200000000004</v>
      </c>
      <c r="K129" s="177" t="d">
        <v>2021-06-01T16:48:59.99999994412064550</v>
      </c>
      <c r="L129" s="179">
        <v>4221.1000000000004</v>
      </c>
      <c r="M129" s="181">
        <f t="shared" si="59"/>
        <v>10.37</v>
      </c>
      <c r="N129" s="182">
        <f t="shared" si="60"/>
        <v>0.91</v>
      </c>
      <c r="O129" s="183">
        <f t="shared" si="61"/>
        <v>0</v>
      </c>
      <c r="P129" s="184">
        <f t="shared" si="62"/>
        <v>0.91</v>
      </c>
      <c r="Q129" s="184">
        <f t="shared" si="63"/>
        <v>0</v>
      </c>
      <c r="R12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2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27045</v>
      </c>
      <c r="T12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29" s="186">
        <f ca="1">IF(Tabla336106734812[[#This Row],[Equity]]&lt;Tabla336106734812[[#This Row],[Equity Peak]],(Tabla336106734812[[#This Row],[Equity Peak]]-Tabla336106734812[[#This Row],[Equity]])/Tabla336106734812[[#This Row],[Equity Peak]],"")</f>
        <v>9.159186664224217E-3</v>
      </c>
      <c r="V129" s="187">
        <f t="shared" si="64"/>
        <v>0</v>
      </c>
      <c r="W129" s="187">
        <f t="shared" si="65"/>
        <v>0</v>
      </c>
      <c r="X129" s="187">
        <f t="shared" si="66"/>
        <v>0</v>
      </c>
      <c r="Y129" s="187">
        <f t="shared" si="67"/>
        <v>0</v>
      </c>
      <c r="Z129" s="187">
        <f t="shared" si="68"/>
        <v>0.91</v>
      </c>
      <c r="AA129" s="183">
        <f t="shared" si="69"/>
        <v>0</v>
      </c>
      <c r="AB129" s="187">
        <f t="shared" si="70"/>
        <v>0</v>
      </c>
      <c r="AC129" s="183">
        <f t="shared" si="71"/>
        <v>0</v>
      </c>
      <c r="AD129" s="188">
        <f t="shared" si="72"/>
        <v>0.29444444444379769</v>
      </c>
      <c r="AE129" s="188">
        <f t="shared" si="73"/>
        <v>0.29444444444379769</v>
      </c>
      <c r="AF129" s="188">
        <f t="shared" si="74"/>
        <v>0</v>
      </c>
      <c r="AG129" s="188">
        <f t="shared" si="75"/>
        <v>0</v>
      </c>
    </row>
    <row r="130" spans="2:33" ht="15" customHeight="1" x14ac:dyDescent="0.15">
      <c r="B130" s="174" t="s">
        <v>5</v>
      </c>
      <c r="C130" s="175" t="s">
        <v>15</v>
      </c>
      <c r="D130" s="176" t="str">
        <f t="shared" si="57"/>
        <v>C</v>
      </c>
      <c r="E130" s="177" t="d">
        <v>2021-05-28T00:59:59.99999979045242400</v>
      </c>
      <c r="F130" s="178" t="s">
        <v>82</v>
      </c>
      <c r="G130" s="179">
        <v>4214.54</v>
      </c>
      <c r="H130" s="179">
        <v>4200.59</v>
      </c>
      <c r="I130" s="180">
        <f t="shared" si="58"/>
        <v>13.949999999999818</v>
      </c>
      <c r="J130" s="179">
        <v>4305.2</v>
      </c>
      <c r="K130" s="177" t="d">
        <v>2021-05-28T17:23:59.99999987427145575</v>
      </c>
      <c r="L130" s="179">
        <v>4207.54</v>
      </c>
      <c r="M130" s="181">
        <f t="shared" si="59"/>
        <v>-7</v>
      </c>
      <c r="N130" s="182">
        <f t="shared" si="60"/>
        <v>-0.5</v>
      </c>
      <c r="O130" s="183">
        <f t="shared" si="61"/>
        <v>0</v>
      </c>
      <c r="P130" s="184">
        <f t="shared" si="62"/>
        <v>0</v>
      </c>
      <c r="Q130" s="184">
        <f t="shared" si="63"/>
        <v>-0.5</v>
      </c>
      <c r="R13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26817.5</v>
      </c>
      <c r="T13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30" s="186">
        <f ca="1">IF(Tabla336106734812[[#This Row],[Equity]]&lt;Tabla336106734812[[#This Row],[Equity Peak]],(Tabla336106734812[[#This Row],[Equity Peak]]-Tabla336106734812[[#This Row],[Equity]])/Tabla336106734812[[#This Row],[Equity Peak]],"")</f>
        <v>1.7494046528668254E-2</v>
      </c>
      <c r="V130" s="187">
        <f t="shared" si="64"/>
        <v>0</v>
      </c>
      <c r="W130" s="187">
        <f t="shared" si="65"/>
        <v>0</v>
      </c>
      <c r="X130" s="187">
        <f t="shared" si="66"/>
        <v>0</v>
      </c>
      <c r="Y130" s="187">
        <f t="shared" si="67"/>
        <v>0</v>
      </c>
      <c r="Z130" s="187">
        <f t="shared" si="68"/>
        <v>-0.5</v>
      </c>
      <c r="AA130" s="183">
        <f t="shared" si="69"/>
        <v>0</v>
      </c>
      <c r="AB130" s="187">
        <f t="shared" si="70"/>
        <v>0</v>
      </c>
      <c r="AC130" s="183">
        <f t="shared" si="71"/>
        <v>0</v>
      </c>
      <c r="AD130" s="188">
        <f t="shared" si="72"/>
        <v>0.68333333333430346</v>
      </c>
      <c r="AE130" s="188">
        <f t="shared" si="73"/>
        <v>0</v>
      </c>
      <c r="AF130" s="188">
        <f t="shared" si="74"/>
        <v>0.68333333333430346</v>
      </c>
      <c r="AG130" s="188">
        <f t="shared" si="75"/>
        <v>0</v>
      </c>
    </row>
    <row r="131" spans="2:33" ht="15" customHeight="1" x14ac:dyDescent="0.15">
      <c r="B131" s="174" t="s">
        <v>5</v>
      </c>
      <c r="C131" s="175" t="s">
        <v>15</v>
      </c>
      <c r="D131" s="176" t="str">
        <f t="shared" si="57"/>
        <v>C</v>
      </c>
      <c r="E131" s="177" t="d">
        <v>2021-05-27T16:15:00.00000020954757600</v>
      </c>
      <c r="F131" s="178" t="s">
        <v>82</v>
      </c>
      <c r="G131" s="179">
        <v>4206.2700000000004</v>
      </c>
      <c r="H131" s="179">
        <v>4192.7299999999996</v>
      </c>
      <c r="I131" s="180">
        <f t="shared" si="58"/>
        <v>13.540000000000873</v>
      </c>
      <c r="J131" s="179">
        <v>4294.26</v>
      </c>
      <c r="K131" s="177" t="d">
        <v>2021-05-27T21:08:59.99999987427145575</v>
      </c>
      <c r="L131" s="179">
        <v>4199.5</v>
      </c>
      <c r="M131" s="181">
        <f t="shared" si="59"/>
        <v>-6.77</v>
      </c>
      <c r="N131" s="182">
        <f t="shared" si="60"/>
        <v>-0.5</v>
      </c>
      <c r="O131" s="183">
        <f t="shared" si="61"/>
        <v>0</v>
      </c>
      <c r="P131" s="184">
        <f t="shared" si="62"/>
        <v>0</v>
      </c>
      <c r="Q131" s="184">
        <f t="shared" si="63"/>
        <v>-0.5</v>
      </c>
      <c r="R13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26942.5</v>
      </c>
      <c r="T13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31" s="186">
        <f ca="1">IF(Tabla336106734812[[#This Row],[Equity]]&lt;Tabla336106734812[[#This Row],[Equity Peak]],(Tabla336106734812[[#This Row],[Equity Peak]]-Tabla336106734812[[#This Row],[Equity]])/Tabla336106734812[[#This Row],[Equity Peak]],"")</f>
        <v>1.2914453196556146E-2</v>
      </c>
      <c r="V131" s="187">
        <f t="shared" si="64"/>
        <v>0</v>
      </c>
      <c r="W131" s="187">
        <f t="shared" si="65"/>
        <v>0</v>
      </c>
      <c r="X131" s="187">
        <f t="shared" si="66"/>
        <v>0</v>
      </c>
      <c r="Y131" s="187">
        <f t="shared" si="67"/>
        <v>0</v>
      </c>
      <c r="Z131" s="187">
        <f t="shared" si="68"/>
        <v>-0.5</v>
      </c>
      <c r="AA131" s="183">
        <f t="shared" si="69"/>
        <v>0</v>
      </c>
      <c r="AB131" s="187">
        <f t="shared" si="70"/>
        <v>0</v>
      </c>
      <c r="AC131" s="183">
        <f t="shared" si="71"/>
        <v>0</v>
      </c>
      <c r="AD131" s="188">
        <f t="shared" si="72"/>
        <v>0.20416666666278616</v>
      </c>
      <c r="AE131" s="188">
        <f t="shared" si="73"/>
        <v>0</v>
      </c>
      <c r="AF131" s="188">
        <f t="shared" si="74"/>
        <v>0.20416666666278616</v>
      </c>
      <c r="AG131" s="188">
        <f t="shared" si="75"/>
        <v>0</v>
      </c>
    </row>
    <row r="132" spans="2:33" ht="15" customHeight="1" x14ac:dyDescent="0.15">
      <c r="B132" s="174" t="s">
        <v>5</v>
      </c>
      <c r="C132" s="175" t="s">
        <v>15</v>
      </c>
      <c r="D132" s="176" t="str">
        <f t="shared" si="57"/>
        <v>C</v>
      </c>
      <c r="E132" s="177" t="d">
        <v>2021-05-26T09:59:59.99999979045242400</v>
      </c>
      <c r="F132" s="178" t="s">
        <v>82</v>
      </c>
      <c r="G132" s="179">
        <v>4205.3100000000004</v>
      </c>
      <c r="H132" s="179">
        <v>4189.0200000000004</v>
      </c>
      <c r="I132" s="180">
        <f t="shared" si="58"/>
        <v>16.289999999999964</v>
      </c>
      <c r="J132" s="179">
        <v>4311.21</v>
      </c>
      <c r="K132" s="177" t="d">
        <v>2021-05-26T16:48:59.99999994412064550</v>
      </c>
      <c r="L132" s="179">
        <v>4190.4399999999996</v>
      </c>
      <c r="M132" s="181">
        <f t="shared" si="59"/>
        <v>-14.87</v>
      </c>
      <c r="N132" s="182">
        <f t="shared" si="60"/>
        <v>-0.91</v>
      </c>
      <c r="O132" s="183">
        <f t="shared" si="61"/>
        <v>0</v>
      </c>
      <c r="P132" s="184">
        <f t="shared" si="62"/>
        <v>0</v>
      </c>
      <c r="Q132" s="184">
        <f t="shared" si="63"/>
        <v>-0.91</v>
      </c>
      <c r="R13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27067.5</v>
      </c>
      <c r="T13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32" s="186">
        <f ca="1">IF(Tabla336106734812[[#This Row],[Equity]]&lt;Tabla336106734812[[#This Row],[Equity Peak]],(Tabla336106734812[[#This Row],[Equity Peak]]-Tabla336106734812[[#This Row],[Equity]])/Tabla336106734812[[#This Row],[Equity Peak]],"")</f>
        <v>8.3348598644440372E-3</v>
      </c>
      <c r="V132" s="187">
        <f t="shared" si="64"/>
        <v>0</v>
      </c>
      <c r="W132" s="187">
        <f t="shared" si="65"/>
        <v>0</v>
      </c>
      <c r="X132" s="187">
        <f t="shared" si="66"/>
        <v>0</v>
      </c>
      <c r="Y132" s="187">
        <f t="shared" si="67"/>
        <v>0</v>
      </c>
      <c r="Z132" s="187">
        <f t="shared" si="68"/>
        <v>-0.91</v>
      </c>
      <c r="AA132" s="183">
        <f t="shared" si="69"/>
        <v>0</v>
      </c>
      <c r="AB132" s="187">
        <f t="shared" si="70"/>
        <v>0</v>
      </c>
      <c r="AC132" s="183">
        <f t="shared" si="71"/>
        <v>0</v>
      </c>
      <c r="AD132" s="188">
        <f t="shared" si="72"/>
        <v>0.28402777777955635</v>
      </c>
      <c r="AE132" s="188">
        <f t="shared" si="73"/>
        <v>0</v>
      </c>
      <c r="AF132" s="188">
        <f t="shared" si="74"/>
        <v>0.28402777777955635</v>
      </c>
      <c r="AG132" s="188">
        <f t="shared" si="75"/>
        <v>0</v>
      </c>
    </row>
    <row r="133" spans="2:33" ht="15" customHeight="1" x14ac:dyDescent="0.15">
      <c r="B133" s="174" t="s">
        <v>5</v>
      </c>
      <c r="C133" s="175" t="s">
        <v>15</v>
      </c>
      <c r="D133" s="176" t="str">
        <f t="shared" si="57"/>
        <v>C</v>
      </c>
      <c r="E133" s="177" t="d">
        <v>2021-05-24T15:45:00.000</v>
      </c>
      <c r="F133" s="178" t="s">
        <v>82</v>
      </c>
      <c r="G133" s="179">
        <v>4179.71</v>
      </c>
      <c r="H133" s="179">
        <v>4160.3999999999996</v>
      </c>
      <c r="I133" s="180">
        <f t="shared" si="58"/>
        <v>19.3100000000004</v>
      </c>
      <c r="J133" s="179">
        <v>4305.22</v>
      </c>
      <c r="K133" s="177" t="d">
        <v>2021-05-25T18:08:59.99999987427145575</v>
      </c>
      <c r="L133" s="179">
        <v>4195.7299999999996</v>
      </c>
      <c r="M133" s="181">
        <f t="shared" si="59"/>
        <v>16.02</v>
      </c>
      <c r="N133" s="182">
        <f t="shared" si="60"/>
        <v>0.83</v>
      </c>
      <c r="O133" s="183">
        <f t="shared" si="61"/>
        <v>0</v>
      </c>
      <c r="P133" s="184">
        <f t="shared" si="62"/>
        <v>0.83</v>
      </c>
      <c r="Q133" s="184">
        <f t="shared" si="63"/>
        <v>0</v>
      </c>
      <c r="R13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27295</v>
      </c>
      <c r="T13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27295</v>
      </c>
      <c r="U133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33" s="187">
        <f t="shared" si="64"/>
        <v>0</v>
      </c>
      <c r="W133" s="187">
        <f t="shared" si="65"/>
        <v>0</v>
      </c>
      <c r="X133" s="187">
        <f t="shared" si="66"/>
        <v>0</v>
      </c>
      <c r="Y133" s="187">
        <f t="shared" si="67"/>
        <v>0</v>
      </c>
      <c r="Z133" s="187">
        <f t="shared" si="68"/>
        <v>0.83</v>
      </c>
      <c r="AA133" s="183">
        <f t="shared" si="69"/>
        <v>0</v>
      </c>
      <c r="AB133" s="187">
        <f t="shared" si="70"/>
        <v>0</v>
      </c>
      <c r="AC133" s="183">
        <f t="shared" si="71"/>
        <v>0</v>
      </c>
      <c r="AD133" s="188">
        <f t="shared" si="72"/>
        <v>1.0999999999985448</v>
      </c>
      <c r="AE133" s="188">
        <f t="shared" si="73"/>
        <v>1.0999999999985448</v>
      </c>
      <c r="AF133" s="188">
        <f t="shared" si="74"/>
        <v>0</v>
      </c>
      <c r="AG133" s="188">
        <f t="shared" si="75"/>
        <v>0</v>
      </c>
    </row>
    <row r="134" spans="2:33" ht="15" customHeight="1" x14ac:dyDescent="0.15">
      <c r="B134" s="174" t="s">
        <v>5</v>
      </c>
      <c r="C134" s="175" t="s">
        <v>15</v>
      </c>
      <c r="D134" s="176" t="str">
        <f t="shared" si="57"/>
        <v>C</v>
      </c>
      <c r="E134" s="177" t="d">
        <v>2021-05-20T17:00:00.00000020954757600</v>
      </c>
      <c r="F134" s="178" t="s">
        <v>82</v>
      </c>
      <c r="G134" s="179">
        <v>4138.78</v>
      </c>
      <c r="H134" s="179">
        <v>4118.24</v>
      </c>
      <c r="I134" s="180">
        <f t="shared" si="58"/>
        <v>20.539999999999964</v>
      </c>
      <c r="J134" s="179">
        <v>4272.3</v>
      </c>
      <c r="K134" s="177" t="d">
        <v>2021-05-21T18:52:00.00000011175870900</v>
      </c>
      <c r="L134" s="179">
        <v>4168.8999999999996</v>
      </c>
      <c r="M134" s="181">
        <f t="shared" si="59"/>
        <v>30.12</v>
      </c>
      <c r="N134" s="182">
        <f t="shared" si="60"/>
        <v>1.47</v>
      </c>
      <c r="O134" s="183">
        <f t="shared" si="61"/>
        <v>0</v>
      </c>
      <c r="P134" s="184">
        <f t="shared" si="62"/>
        <v>1.47</v>
      </c>
      <c r="Q134" s="184">
        <f t="shared" si="63"/>
        <v>0</v>
      </c>
      <c r="R13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27087.5</v>
      </c>
      <c r="T13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27087.5</v>
      </c>
      <c r="U134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34" s="187">
        <f t="shared" si="64"/>
        <v>0</v>
      </c>
      <c r="W134" s="187">
        <f t="shared" si="65"/>
        <v>0</v>
      </c>
      <c r="X134" s="187">
        <f t="shared" si="66"/>
        <v>0</v>
      </c>
      <c r="Y134" s="187">
        <f t="shared" si="67"/>
        <v>0</v>
      </c>
      <c r="Z134" s="187">
        <f t="shared" si="68"/>
        <v>1.47</v>
      </c>
      <c r="AA134" s="183">
        <f t="shared" si="69"/>
        <v>0</v>
      </c>
      <c r="AB134" s="187">
        <f t="shared" si="70"/>
        <v>0</v>
      </c>
      <c r="AC134" s="183">
        <f t="shared" si="71"/>
        <v>0</v>
      </c>
      <c r="AD134" s="188">
        <f t="shared" si="72"/>
        <v>1.077777777776646</v>
      </c>
      <c r="AE134" s="188">
        <f t="shared" si="73"/>
        <v>1.077777777776646</v>
      </c>
      <c r="AF134" s="188">
        <f t="shared" si="74"/>
        <v>0</v>
      </c>
      <c r="AG134" s="188">
        <f t="shared" si="75"/>
        <v>0</v>
      </c>
    </row>
    <row r="135" spans="2:33" ht="15" customHeight="1" x14ac:dyDescent="0.15">
      <c r="B135" s="174" t="s">
        <v>5</v>
      </c>
      <c r="C135" s="175" t="s">
        <v>13</v>
      </c>
      <c r="D135" s="176" t="str">
        <f t="shared" si="57"/>
        <v>C</v>
      </c>
      <c r="E135" s="177" t="d">
        <v>2021-05-18T21:30:00.00000020954757600</v>
      </c>
      <c r="F135" s="178" t="s">
        <v>82</v>
      </c>
      <c r="G135" s="179">
        <v>4152.71</v>
      </c>
      <c r="H135" s="179">
        <v>4176.1899999999996</v>
      </c>
      <c r="I135" s="180">
        <f t="shared" si="58"/>
        <v>23.479999999999563</v>
      </c>
      <c r="J135" s="179">
        <v>4000.08</v>
      </c>
      <c r="K135" s="177" t="d">
        <v>2021-05-19T18:21:59.99999990221113300</v>
      </c>
      <c r="L135" s="179">
        <v>4088.49</v>
      </c>
      <c r="M135" s="181">
        <f t="shared" si="59"/>
        <v>64.22</v>
      </c>
      <c r="N135" s="182">
        <f t="shared" si="60"/>
        <v>2.74</v>
      </c>
      <c r="O135" s="183">
        <f t="shared" si="61"/>
        <v>0</v>
      </c>
      <c r="P135" s="184">
        <f t="shared" si="62"/>
        <v>2.74</v>
      </c>
      <c r="Q135" s="184">
        <f t="shared" si="63"/>
        <v>0</v>
      </c>
      <c r="R13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26720</v>
      </c>
      <c r="T13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26720</v>
      </c>
      <c r="U135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35" s="187">
        <f t="shared" si="64"/>
        <v>0</v>
      </c>
      <c r="W135" s="187">
        <f t="shared" si="65"/>
        <v>0</v>
      </c>
      <c r="X135" s="187">
        <f t="shared" si="66"/>
        <v>0</v>
      </c>
      <c r="Y135" s="187">
        <f t="shared" si="67"/>
        <v>0</v>
      </c>
      <c r="Z135" s="187">
        <f t="shared" si="68"/>
        <v>2.74</v>
      </c>
      <c r="AA135" s="183">
        <f t="shared" si="69"/>
        <v>0</v>
      </c>
      <c r="AB135" s="187">
        <f t="shared" si="70"/>
        <v>0</v>
      </c>
      <c r="AC135" s="183">
        <f t="shared" si="71"/>
        <v>0</v>
      </c>
      <c r="AD135" s="188">
        <f t="shared" si="72"/>
        <v>0.86944444444088731</v>
      </c>
      <c r="AE135" s="188">
        <f t="shared" si="73"/>
        <v>0.86944444444088731</v>
      </c>
      <c r="AF135" s="188">
        <f t="shared" si="74"/>
        <v>0</v>
      </c>
      <c r="AG135" s="188">
        <f t="shared" si="75"/>
        <v>0</v>
      </c>
    </row>
    <row r="136" spans="2:33" ht="15" customHeight="1" x14ac:dyDescent="0.15">
      <c r="B136" s="174" t="s">
        <v>5</v>
      </c>
      <c r="C136" s="175" t="s">
        <v>15</v>
      </c>
      <c r="D136" s="176" t="str">
        <f t="shared" si="57"/>
        <v>C</v>
      </c>
      <c r="E136" s="177" t="d">
        <v>2021-05-18T04:30:00.000</v>
      </c>
      <c r="F136" s="178" t="s">
        <v>82</v>
      </c>
      <c r="G136" s="179">
        <v>4174.97</v>
      </c>
      <c r="H136" s="179">
        <v>4147.87</v>
      </c>
      <c r="I136" s="180">
        <f t="shared" si="58"/>
        <v>27.100000000000364</v>
      </c>
      <c r="J136" s="179">
        <v>4351.1400000000003</v>
      </c>
      <c r="K136" s="177" t="d">
        <v>2021-05-18T17:06:59.99999969266355025</v>
      </c>
      <c r="L136" s="179">
        <v>4156.9799999999996</v>
      </c>
      <c r="M136" s="181">
        <f t="shared" si="59"/>
        <v>-17.989999999999998</v>
      </c>
      <c r="N136" s="182">
        <f t="shared" si="60"/>
        <v>-0.66</v>
      </c>
      <c r="O136" s="183">
        <f t="shared" si="61"/>
        <v>0</v>
      </c>
      <c r="P136" s="184">
        <f t="shared" si="62"/>
        <v>0</v>
      </c>
      <c r="Q136" s="184">
        <f t="shared" si="63"/>
        <v>-0.66</v>
      </c>
      <c r="R13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26035</v>
      </c>
      <c r="T13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26712.5</v>
      </c>
      <c r="U136" s="186">
        <f ca="1">IF(Tabla336106734812[[#This Row],[Equity]]&lt;Tabla336106734812[[#This Row],[Equity Peak]],(Tabla336106734812[[#This Row],[Equity Peak]]-Tabla336106734812[[#This Row],[Equity]])/Tabla336106734812[[#This Row],[Equity Peak]],"")</f>
        <v>2.5362657931679924E-2</v>
      </c>
      <c r="V136" s="187">
        <f t="shared" si="64"/>
        <v>0</v>
      </c>
      <c r="W136" s="187">
        <f t="shared" si="65"/>
        <v>0</v>
      </c>
      <c r="X136" s="187">
        <f t="shared" si="66"/>
        <v>0</v>
      </c>
      <c r="Y136" s="187">
        <f t="shared" si="67"/>
        <v>0</v>
      </c>
      <c r="Z136" s="187">
        <f t="shared" si="68"/>
        <v>-0.66</v>
      </c>
      <c r="AA136" s="183">
        <f t="shared" si="69"/>
        <v>0</v>
      </c>
      <c r="AB136" s="187">
        <f t="shared" si="70"/>
        <v>0</v>
      </c>
      <c r="AC136" s="183">
        <f t="shared" si="71"/>
        <v>0</v>
      </c>
      <c r="AD136" s="188">
        <f t="shared" si="72"/>
        <v>0.52569444444088731</v>
      </c>
      <c r="AE136" s="188">
        <f t="shared" si="73"/>
        <v>0</v>
      </c>
      <c r="AF136" s="188">
        <f t="shared" si="74"/>
        <v>0.52569444444088731</v>
      </c>
      <c r="AG136" s="188">
        <f t="shared" si="75"/>
        <v>0</v>
      </c>
    </row>
    <row r="137" spans="2:33" ht="15" customHeight="1" x14ac:dyDescent="0.15">
      <c r="B137" s="174" t="s">
        <v>5</v>
      </c>
      <c r="C137" s="175" t="s">
        <v>13</v>
      </c>
      <c r="D137" s="176" t="str">
        <f t="shared" si="57"/>
        <v>C</v>
      </c>
      <c r="E137" s="177" t="d">
        <v>2021-05-17T20:45:00.00000020954757600</v>
      </c>
      <c r="F137" s="178" t="s">
        <v>82</v>
      </c>
      <c r="G137" s="179">
        <v>4146.1899999999996</v>
      </c>
      <c r="H137" s="179">
        <v>4173.63</v>
      </c>
      <c r="I137" s="180">
        <f t="shared" si="58"/>
        <v>27.440000000000509</v>
      </c>
      <c r="J137" s="179">
        <v>3967.84</v>
      </c>
      <c r="K137" s="177" t="d">
        <v>2021-05-18T04:22:59.99999988824129100</v>
      </c>
      <c r="L137" s="179">
        <v>4173.63</v>
      </c>
      <c r="M137" s="181">
        <f t="shared" si="59"/>
        <v>-27.44</v>
      </c>
      <c r="N137" s="182">
        <f t="shared" si="60"/>
        <v>-1</v>
      </c>
      <c r="O137" s="183">
        <f t="shared" si="61"/>
        <v>0</v>
      </c>
      <c r="P137" s="184">
        <f t="shared" si="62"/>
        <v>0</v>
      </c>
      <c r="Q137" s="184">
        <f t="shared" si="63"/>
        <v>-1</v>
      </c>
      <c r="R13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26200</v>
      </c>
      <c r="T13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26712.5</v>
      </c>
      <c r="U137" s="186">
        <f ca="1">IF(Tabla336106734812[[#This Row],[Equity]]&lt;Tabla336106734812[[#This Row],[Equity Peak]],(Tabla336106734812[[#This Row],[Equity Peak]]-Tabla336106734812[[#This Row],[Equity]])/Tabla336106734812[[#This Row],[Equity Peak]],"")</f>
        <v>1.918577445016378E-2</v>
      </c>
      <c r="V137" s="187">
        <f t="shared" si="64"/>
        <v>0</v>
      </c>
      <c r="W137" s="187">
        <f t="shared" si="65"/>
        <v>0</v>
      </c>
      <c r="X137" s="187">
        <f t="shared" si="66"/>
        <v>0</v>
      </c>
      <c r="Y137" s="187">
        <f t="shared" si="67"/>
        <v>0</v>
      </c>
      <c r="Z137" s="187">
        <f t="shared" si="68"/>
        <v>-1</v>
      </c>
      <c r="AA137" s="183">
        <f t="shared" si="69"/>
        <v>0</v>
      </c>
      <c r="AB137" s="187">
        <f t="shared" si="70"/>
        <v>0</v>
      </c>
      <c r="AC137" s="183">
        <f t="shared" si="71"/>
        <v>0</v>
      </c>
      <c r="AD137" s="188">
        <f t="shared" si="72"/>
        <v>0.31805555555183673</v>
      </c>
      <c r="AE137" s="188">
        <f t="shared" si="73"/>
        <v>0</v>
      </c>
      <c r="AF137" s="188">
        <f t="shared" si="74"/>
        <v>0.31805555555183673</v>
      </c>
      <c r="AG137" s="188">
        <f t="shared" si="75"/>
        <v>0</v>
      </c>
    </row>
    <row r="138" spans="2:33" ht="15" customHeight="1" x14ac:dyDescent="0.15">
      <c r="B138" s="174" t="s">
        <v>5</v>
      </c>
      <c r="C138" s="175" t="s">
        <v>15</v>
      </c>
      <c r="D138" s="176" t="str">
        <f t="shared" si="57"/>
        <v>C</v>
      </c>
      <c r="E138" s="177" t="d">
        <v>2021-05-14T16:44:59.99999979045242400</v>
      </c>
      <c r="F138" s="178" t="s">
        <v>82</v>
      </c>
      <c r="G138" s="179">
        <v>4149.6400000000003</v>
      </c>
      <c r="H138" s="179">
        <v>4123.43</v>
      </c>
      <c r="I138" s="180">
        <f t="shared" si="58"/>
        <v>26.210000000000036</v>
      </c>
      <c r="J138" s="179">
        <v>4320.04</v>
      </c>
      <c r="K138" s="177" t="d">
        <v>2021-05-17T14:51:59.99999969266355025</v>
      </c>
      <c r="L138" s="179">
        <v>4156.2299999999996</v>
      </c>
      <c r="M138" s="181">
        <f t="shared" si="59"/>
        <v>6.59</v>
      </c>
      <c r="N138" s="182">
        <f t="shared" si="60"/>
        <v>0.25</v>
      </c>
      <c r="O138" s="183">
        <f t="shared" si="61"/>
        <v>0</v>
      </c>
      <c r="P138" s="184">
        <f t="shared" si="62"/>
        <v>0.25</v>
      </c>
      <c r="Q138" s="184">
        <f t="shared" si="63"/>
        <v>0</v>
      </c>
      <c r="R13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26450</v>
      </c>
      <c r="T13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26712.5</v>
      </c>
      <c r="U138" s="186">
        <f ca="1">IF(Tabla336106734812[[#This Row],[Equity]]&lt;Tabla336106734812[[#This Row],[Equity Peak]],(Tabla336106734812[[#This Row],[Equity Peak]]-Tabla336106734812[[#This Row],[Equity]])/Tabla336106734812[[#This Row],[Equity Peak]],"")</f>
        <v>9.8268600842302285E-3</v>
      </c>
      <c r="V138" s="187">
        <f t="shared" si="64"/>
        <v>0</v>
      </c>
      <c r="W138" s="187">
        <f t="shared" si="65"/>
        <v>0</v>
      </c>
      <c r="X138" s="187">
        <f t="shared" si="66"/>
        <v>0</v>
      </c>
      <c r="Y138" s="187">
        <f t="shared" si="67"/>
        <v>0</v>
      </c>
      <c r="Z138" s="187">
        <f t="shared" si="68"/>
        <v>0.25</v>
      </c>
      <c r="AA138" s="183">
        <f t="shared" si="69"/>
        <v>0</v>
      </c>
      <c r="AB138" s="187">
        <f t="shared" si="70"/>
        <v>0</v>
      </c>
      <c r="AC138" s="183">
        <f t="shared" si="71"/>
        <v>0</v>
      </c>
      <c r="AD138" s="188">
        <f t="shared" si="72"/>
        <v>2.921527777776646</v>
      </c>
      <c r="AE138" s="188">
        <f t="shared" si="73"/>
        <v>2.921527777776646</v>
      </c>
      <c r="AF138" s="188">
        <f t="shared" si="74"/>
        <v>0</v>
      </c>
      <c r="AG138" s="188">
        <f t="shared" si="75"/>
        <v>0</v>
      </c>
    </row>
    <row r="139" spans="2:33" ht="15" customHeight="1" x14ac:dyDescent="0.15">
      <c r="B139" s="174" t="s">
        <v>5</v>
      </c>
      <c r="C139" s="175" t="s">
        <v>13</v>
      </c>
      <c r="D139" s="176" t="str">
        <f t="shared" si="57"/>
        <v>C</v>
      </c>
      <c r="E139" s="177" t="d">
        <v>2021-05-10T23:00:00.00000020954757600</v>
      </c>
      <c r="F139" s="178" t="s">
        <v>82</v>
      </c>
      <c r="G139" s="179">
        <v>4190.5</v>
      </c>
      <c r="H139" s="179">
        <v>4207.59</v>
      </c>
      <c r="I139" s="180">
        <f t="shared" si="58"/>
        <v>17.090000000000146</v>
      </c>
      <c r="J139" s="179">
        <v>4079.39</v>
      </c>
      <c r="K139" s="177" t="d">
        <v>2021-05-11T09:45:00.000</v>
      </c>
      <c r="L139" s="179">
        <v>4175.93</v>
      </c>
      <c r="M139" s="181">
        <f t="shared" si="59"/>
        <v>14.57</v>
      </c>
      <c r="N139" s="182">
        <f t="shared" si="60"/>
        <v>0.85</v>
      </c>
      <c r="O139" s="183">
        <f t="shared" si="61"/>
        <v>0</v>
      </c>
      <c r="P139" s="184">
        <f t="shared" si="62"/>
        <v>0.85</v>
      </c>
      <c r="Q139" s="184">
        <f t="shared" si="63"/>
        <v>0</v>
      </c>
      <c r="R13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3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26387.5</v>
      </c>
      <c r="T13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26712.5</v>
      </c>
      <c r="U139" s="186">
        <f ca="1">IF(Tabla336106734812[[#This Row],[Equity]]&lt;Tabla336106734812[[#This Row],[Equity Peak]],(Tabla336106734812[[#This Row],[Equity Peak]]-Tabla336106734812[[#This Row],[Equity]])/Tabla336106734812[[#This Row],[Equity Peak]],"")</f>
        <v>1.2166588675713618E-2</v>
      </c>
      <c r="V139" s="187">
        <f t="shared" si="64"/>
        <v>0</v>
      </c>
      <c r="W139" s="187">
        <f t="shared" si="65"/>
        <v>0</v>
      </c>
      <c r="X139" s="187">
        <f t="shared" si="66"/>
        <v>0</v>
      </c>
      <c r="Y139" s="187">
        <f t="shared" si="67"/>
        <v>0</v>
      </c>
      <c r="Z139" s="187">
        <f t="shared" si="68"/>
        <v>0.85</v>
      </c>
      <c r="AA139" s="183">
        <f t="shared" si="69"/>
        <v>0</v>
      </c>
      <c r="AB139" s="187">
        <f t="shared" si="70"/>
        <v>0</v>
      </c>
      <c r="AC139" s="183">
        <f t="shared" si="71"/>
        <v>0</v>
      </c>
      <c r="AD139" s="188">
        <f t="shared" si="72"/>
        <v>0.44791666666424135</v>
      </c>
      <c r="AE139" s="188">
        <f t="shared" si="73"/>
        <v>0.44791666666424135</v>
      </c>
      <c r="AF139" s="188">
        <f t="shared" si="74"/>
        <v>0</v>
      </c>
      <c r="AG139" s="188">
        <f t="shared" si="75"/>
        <v>0</v>
      </c>
    </row>
    <row r="140" spans="2:33" ht="15" customHeight="1" x14ac:dyDescent="0.15">
      <c r="B140" s="174" t="s">
        <v>5</v>
      </c>
      <c r="C140" s="175" t="s">
        <v>15</v>
      </c>
      <c r="D140" s="176" t="str">
        <f t="shared" si="57"/>
        <v>C</v>
      </c>
      <c r="E140" s="177" t="d">
        <v>2021-05-06T22:44:59.99999979045242400</v>
      </c>
      <c r="F140" s="178" t="s">
        <v>82</v>
      </c>
      <c r="G140" s="179">
        <v>4190.25</v>
      </c>
      <c r="H140" s="179">
        <v>4173.29</v>
      </c>
      <c r="I140" s="180">
        <f t="shared" si="58"/>
        <v>16.960000000000036</v>
      </c>
      <c r="J140" s="179">
        <v>4300.4799999999996</v>
      </c>
      <c r="K140" s="177" t="d">
        <v>2021-05-10T16:38:59.99999987427145575</v>
      </c>
      <c r="L140" s="179">
        <v>4228.2700000000004</v>
      </c>
      <c r="M140" s="181">
        <f t="shared" si="59"/>
        <v>38.020000000000003</v>
      </c>
      <c r="N140" s="182">
        <f t="shared" si="60"/>
        <v>2.2400000000000002</v>
      </c>
      <c r="O140" s="183">
        <f t="shared" si="61"/>
        <v>0</v>
      </c>
      <c r="P140" s="184">
        <f t="shared" si="62"/>
        <v>2.2400000000000002</v>
      </c>
      <c r="Q140" s="184">
        <f t="shared" si="63"/>
        <v>0</v>
      </c>
      <c r="R14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26175</v>
      </c>
      <c r="T14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26712.5</v>
      </c>
      <c r="U140" s="186">
        <f ca="1">IF(Tabla336106734812[[#This Row],[Equity]]&lt;Tabla336106734812[[#This Row],[Equity Peak]],(Tabla336106734812[[#This Row],[Equity Peak]]-Tabla336106734812[[#This Row],[Equity]])/Tabla336106734812[[#This Row],[Equity Peak]],"")</f>
        <v>2.0121665886757137E-2</v>
      </c>
      <c r="V140" s="187">
        <f t="shared" si="64"/>
        <v>0</v>
      </c>
      <c r="W140" s="187">
        <f t="shared" si="65"/>
        <v>0</v>
      </c>
      <c r="X140" s="187">
        <f t="shared" si="66"/>
        <v>0</v>
      </c>
      <c r="Y140" s="187">
        <f t="shared" si="67"/>
        <v>0</v>
      </c>
      <c r="Z140" s="187">
        <f t="shared" si="68"/>
        <v>2.2400000000000002</v>
      </c>
      <c r="AA140" s="183">
        <f t="shared" si="69"/>
        <v>0</v>
      </c>
      <c r="AB140" s="187">
        <f t="shared" si="70"/>
        <v>0</v>
      </c>
      <c r="AC140" s="183">
        <f t="shared" si="71"/>
        <v>0</v>
      </c>
      <c r="AD140" s="188">
        <f t="shared" si="72"/>
        <v>3.7458333333343035</v>
      </c>
      <c r="AE140" s="188">
        <f t="shared" si="73"/>
        <v>3.7458333333343035</v>
      </c>
      <c r="AF140" s="188">
        <f t="shared" si="74"/>
        <v>0</v>
      </c>
      <c r="AG140" s="188">
        <f t="shared" si="75"/>
        <v>0</v>
      </c>
    </row>
    <row r="141" spans="2:33" ht="15" customHeight="1" x14ac:dyDescent="0.15">
      <c r="B141" s="174" t="s">
        <v>5</v>
      </c>
      <c r="C141" s="175" t="s">
        <v>15</v>
      </c>
      <c r="D141" s="176" t="str">
        <f t="shared" si="57"/>
        <v>C</v>
      </c>
      <c r="E141" s="177" t="d">
        <v>2021-05-06T18:45:00.000</v>
      </c>
      <c r="F141" s="178" t="s">
        <v>82</v>
      </c>
      <c r="G141" s="179">
        <v>4184</v>
      </c>
      <c r="H141" s="179">
        <v>4167.82</v>
      </c>
      <c r="I141" s="180">
        <f t="shared" si="58"/>
        <v>16.180000000000291</v>
      </c>
      <c r="J141" s="179">
        <v>4289.2</v>
      </c>
      <c r="K141" s="177" t="d">
        <v>2021-05-06T21:01:00.00000019557774075</v>
      </c>
      <c r="L141" s="179">
        <v>4170.28</v>
      </c>
      <c r="M141" s="181">
        <f t="shared" si="59"/>
        <v>-13.72</v>
      </c>
      <c r="N141" s="182">
        <f t="shared" si="60"/>
        <v>-0.85</v>
      </c>
      <c r="O141" s="183">
        <f t="shared" si="61"/>
        <v>0</v>
      </c>
      <c r="P141" s="184">
        <f t="shared" si="62"/>
        <v>0</v>
      </c>
      <c r="Q141" s="184">
        <f t="shared" si="63"/>
        <v>-0.85</v>
      </c>
      <c r="R14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25615</v>
      </c>
      <c r="T14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26712.5</v>
      </c>
      <c r="U141" s="186">
        <f ca="1">IF(Tabla336106734812[[#This Row],[Equity]]&lt;Tabla336106734812[[#This Row],[Equity Peak]],(Tabla336106734812[[#This Row],[Equity Peak]]-Tabla336106734812[[#This Row],[Equity]])/Tabla336106734812[[#This Row],[Equity Peak]],"")</f>
        <v>4.1085634066448294E-2</v>
      </c>
      <c r="V141" s="187">
        <f t="shared" si="64"/>
        <v>0</v>
      </c>
      <c r="W141" s="187">
        <f t="shared" si="65"/>
        <v>0</v>
      </c>
      <c r="X141" s="187">
        <f t="shared" si="66"/>
        <v>0</v>
      </c>
      <c r="Y141" s="187">
        <f t="shared" si="67"/>
        <v>0</v>
      </c>
      <c r="Z141" s="187">
        <f t="shared" si="68"/>
        <v>-0.85</v>
      </c>
      <c r="AA141" s="183">
        <f t="shared" si="69"/>
        <v>0</v>
      </c>
      <c r="AB141" s="187">
        <f t="shared" si="70"/>
        <v>0</v>
      </c>
      <c r="AC141" s="183">
        <f t="shared" si="71"/>
        <v>0</v>
      </c>
      <c r="AD141" s="188">
        <f t="shared" si="72"/>
        <v>9.4444444446708076E-2</v>
      </c>
      <c r="AE141" s="188">
        <f t="shared" si="73"/>
        <v>0</v>
      </c>
      <c r="AF141" s="188">
        <f t="shared" si="74"/>
        <v>9.4444444446708076E-2</v>
      </c>
      <c r="AG141" s="188">
        <f t="shared" si="75"/>
        <v>0</v>
      </c>
    </row>
    <row r="142" spans="2:33" ht="15" customHeight="1" x14ac:dyDescent="0.15">
      <c r="B142" s="174" t="s">
        <v>5</v>
      </c>
      <c r="C142" s="175" t="s">
        <v>13</v>
      </c>
      <c r="D142" s="176" t="str">
        <f t="shared" si="57"/>
        <v>C</v>
      </c>
      <c r="E142" s="177" t="d">
        <v>2021-05-06T17:00:00.00000020954757600</v>
      </c>
      <c r="F142" s="178" t="s">
        <v>82</v>
      </c>
      <c r="G142" s="179">
        <v>4159.53</v>
      </c>
      <c r="H142" s="179">
        <v>4175.1899999999996</v>
      </c>
      <c r="I142" s="180">
        <f t="shared" si="58"/>
        <v>15.659999999999854</v>
      </c>
      <c r="J142" s="179">
        <v>4057.76</v>
      </c>
      <c r="K142" s="177" t="d">
        <v>2021-05-06T18:24:00.00000029336660775</v>
      </c>
      <c r="L142" s="179">
        <v>4170.34</v>
      </c>
      <c r="M142" s="181">
        <f t="shared" si="59"/>
        <v>-10.81</v>
      </c>
      <c r="N142" s="182">
        <f t="shared" si="60"/>
        <v>-0.69</v>
      </c>
      <c r="O142" s="183">
        <f t="shared" si="61"/>
        <v>0</v>
      </c>
      <c r="P142" s="184">
        <f t="shared" si="62"/>
        <v>0</v>
      </c>
      <c r="Q142" s="184">
        <f t="shared" si="63"/>
        <v>-0.69</v>
      </c>
      <c r="R14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25827.5</v>
      </c>
      <c r="T14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26712.5</v>
      </c>
      <c r="U142" s="186">
        <f ca="1">IF(Tabla336106734812[[#This Row],[Equity]]&lt;Tabla336106734812[[#This Row],[Equity Peak]],(Tabla336106734812[[#This Row],[Equity Peak]]-Tabla336106734812[[#This Row],[Equity]])/Tabla336106734812[[#This Row],[Equity Peak]],"")</f>
        <v>3.3130556855404773E-2</v>
      </c>
      <c r="V142" s="187">
        <f t="shared" si="64"/>
        <v>0</v>
      </c>
      <c r="W142" s="187">
        <f t="shared" si="65"/>
        <v>0</v>
      </c>
      <c r="X142" s="187">
        <f t="shared" si="66"/>
        <v>0</v>
      </c>
      <c r="Y142" s="187">
        <f t="shared" si="67"/>
        <v>0</v>
      </c>
      <c r="Z142" s="187">
        <f t="shared" si="68"/>
        <v>-0.69</v>
      </c>
      <c r="AA142" s="183">
        <f t="shared" si="69"/>
        <v>0</v>
      </c>
      <c r="AB142" s="187">
        <f t="shared" si="70"/>
        <v>0</v>
      </c>
      <c r="AC142" s="183">
        <f t="shared" si="71"/>
        <v>0</v>
      </c>
      <c r="AD142" s="188">
        <f t="shared" si="72"/>
        <v>5.8333333334303461E-2</v>
      </c>
      <c r="AE142" s="188">
        <f t="shared" si="73"/>
        <v>0</v>
      </c>
      <c r="AF142" s="188">
        <f t="shared" si="74"/>
        <v>5.8333333334303461E-2</v>
      </c>
      <c r="AG142" s="188">
        <f t="shared" si="75"/>
        <v>0</v>
      </c>
    </row>
    <row r="143" spans="2:33" ht="15" customHeight="1" x14ac:dyDescent="0.15">
      <c r="B143" s="174" t="s">
        <v>5</v>
      </c>
      <c r="C143" s="175" t="s">
        <v>15</v>
      </c>
      <c r="D143" s="176" t="str">
        <f t="shared" si="57"/>
        <v>C</v>
      </c>
      <c r="E143" s="177" t="d">
        <v>2021-05-05T18:59:59.99999979045242400</v>
      </c>
      <c r="F143" s="178" t="s">
        <v>82</v>
      </c>
      <c r="G143" s="179">
        <v>4188.82</v>
      </c>
      <c r="H143" s="179">
        <v>4173.5600000000004</v>
      </c>
      <c r="I143" s="180">
        <f t="shared" si="58"/>
        <v>15.259999999999309</v>
      </c>
      <c r="J143" s="179">
        <v>4288.03</v>
      </c>
      <c r="K143" s="177" t="d">
        <v>2021-05-05T22:09:00.00000029336660775</v>
      </c>
      <c r="L143" s="179">
        <v>4173.5600000000004</v>
      </c>
      <c r="M143" s="181">
        <f t="shared" si="59"/>
        <v>-15.26</v>
      </c>
      <c r="N143" s="182">
        <f t="shared" si="60"/>
        <v>-1</v>
      </c>
      <c r="O143" s="183">
        <f t="shared" si="61"/>
        <v>0</v>
      </c>
      <c r="P143" s="184">
        <f t="shared" si="62"/>
        <v>0</v>
      </c>
      <c r="Q143" s="184">
        <f t="shared" si="63"/>
        <v>-1</v>
      </c>
      <c r="R14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26000</v>
      </c>
      <c r="T14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26712.5</v>
      </c>
      <c r="U143" s="186">
        <f ca="1">IF(Tabla336106734812[[#This Row],[Equity]]&lt;Tabla336106734812[[#This Row],[Equity Peak]],(Tabla336106734812[[#This Row],[Equity Peak]]-Tabla336106734812[[#This Row],[Equity]])/Tabla336106734812[[#This Row],[Equity Peak]],"")</f>
        <v>2.6672905942910621E-2</v>
      </c>
      <c r="V143" s="187">
        <f t="shared" si="64"/>
        <v>0</v>
      </c>
      <c r="W143" s="187">
        <f t="shared" si="65"/>
        <v>0</v>
      </c>
      <c r="X143" s="187">
        <f t="shared" si="66"/>
        <v>0</v>
      </c>
      <c r="Y143" s="187">
        <f t="shared" si="67"/>
        <v>0</v>
      </c>
      <c r="Z143" s="187">
        <f t="shared" si="68"/>
        <v>-1</v>
      </c>
      <c r="AA143" s="183">
        <f t="shared" si="69"/>
        <v>0</v>
      </c>
      <c r="AB143" s="187">
        <f t="shared" si="70"/>
        <v>0</v>
      </c>
      <c r="AC143" s="183">
        <f t="shared" si="71"/>
        <v>0</v>
      </c>
      <c r="AD143" s="188">
        <f t="shared" si="72"/>
        <v>0.13125000000582077</v>
      </c>
      <c r="AE143" s="188">
        <f t="shared" si="73"/>
        <v>0</v>
      </c>
      <c r="AF143" s="188">
        <f t="shared" si="74"/>
        <v>0.13125000000582077</v>
      </c>
      <c r="AG143" s="188">
        <f t="shared" si="75"/>
        <v>0</v>
      </c>
    </row>
    <row r="144" spans="2:33" ht="15" customHeight="1" x14ac:dyDescent="0.15">
      <c r="B144" s="174" t="s">
        <v>5</v>
      </c>
      <c r="C144" s="175" t="s">
        <v>13</v>
      </c>
      <c r="D144" s="176" t="str">
        <f t="shared" si="57"/>
        <v>C</v>
      </c>
      <c r="E144" s="177" t="d">
        <v>2021-05-04T03:14:59.99999979045242400</v>
      </c>
      <c r="F144" s="178" t="s">
        <v>82</v>
      </c>
      <c r="G144" s="179">
        <v>4187.17</v>
      </c>
      <c r="H144" s="179">
        <v>4200.54</v>
      </c>
      <c r="I144" s="180">
        <f t="shared" si="58"/>
        <v>13.369999999999891</v>
      </c>
      <c r="J144" s="179">
        <v>4100.29</v>
      </c>
      <c r="K144" s="177" t="d">
        <v>2021-05-04T20:09:00.00000008381903175</v>
      </c>
      <c r="L144" s="179">
        <v>4148.2</v>
      </c>
      <c r="M144" s="181">
        <f t="shared" si="59"/>
        <v>38.97</v>
      </c>
      <c r="N144" s="182">
        <f t="shared" si="60"/>
        <v>2.91</v>
      </c>
      <c r="O144" s="183">
        <f t="shared" si="61"/>
        <v>0</v>
      </c>
      <c r="P144" s="184">
        <f t="shared" si="62"/>
        <v>2.91</v>
      </c>
      <c r="Q144" s="184">
        <f t="shared" si="63"/>
        <v>0</v>
      </c>
      <c r="R14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26250</v>
      </c>
      <c r="T14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26712.5</v>
      </c>
      <c r="U144" s="186">
        <f ca="1">IF(Tabla336106734812[[#This Row],[Equity]]&lt;Tabla336106734812[[#This Row],[Equity Peak]],(Tabla336106734812[[#This Row],[Equity Peak]]-Tabla336106734812[[#This Row],[Equity]])/Tabla336106734812[[#This Row],[Equity Peak]],"")</f>
        <v>1.7313991576977071E-2</v>
      </c>
      <c r="V144" s="187">
        <f t="shared" si="64"/>
        <v>0</v>
      </c>
      <c r="W144" s="187">
        <f t="shared" si="65"/>
        <v>0</v>
      </c>
      <c r="X144" s="187">
        <f t="shared" si="66"/>
        <v>0</v>
      </c>
      <c r="Y144" s="187">
        <f t="shared" si="67"/>
        <v>0</v>
      </c>
      <c r="Z144" s="187">
        <f t="shared" si="68"/>
        <v>2.91</v>
      </c>
      <c r="AA144" s="183">
        <f t="shared" si="69"/>
        <v>0</v>
      </c>
      <c r="AB144" s="187">
        <f t="shared" si="70"/>
        <v>0</v>
      </c>
      <c r="AC144" s="183">
        <f t="shared" si="71"/>
        <v>0</v>
      </c>
      <c r="AD144" s="188">
        <f t="shared" si="72"/>
        <v>0.70416666667006211</v>
      </c>
      <c r="AE144" s="188">
        <f t="shared" si="73"/>
        <v>0.70416666667006211</v>
      </c>
      <c r="AF144" s="188">
        <f t="shared" si="74"/>
        <v>0</v>
      </c>
      <c r="AG144" s="188">
        <f t="shared" si="75"/>
        <v>0</v>
      </c>
    </row>
    <row r="145" spans="2:33" ht="15" customHeight="1" x14ac:dyDescent="0.15">
      <c r="B145" s="174" t="s">
        <v>5</v>
      </c>
      <c r="C145" s="175" t="s">
        <v>15</v>
      </c>
      <c r="D145" s="176" t="str">
        <f t="shared" ref="D145:D176" si="76">IF(E145&lt;&gt;"",IF(K145&lt;&gt;"","C","O"),"")</f>
        <v>C</v>
      </c>
      <c r="E145" s="177" t="d">
        <v>2021-05-03T17:00:00.00000020954757600</v>
      </c>
      <c r="F145" s="178" t="s">
        <v>82</v>
      </c>
      <c r="G145" s="179">
        <v>4207.9799999999996</v>
      </c>
      <c r="H145" s="179">
        <v>4195.2299999999996</v>
      </c>
      <c r="I145" s="180">
        <f t="shared" ref="I145:I176" si="77">ABS(G145-H145)</f>
        <v>12.75</v>
      </c>
      <c r="J145" s="179">
        <v>4290.84</v>
      </c>
      <c r="K145" s="177" t="d">
        <v>2021-05-03T18:24:00.00000029336660775</v>
      </c>
      <c r="L145" s="179">
        <v>4195.2299999999996</v>
      </c>
      <c r="M145" s="181">
        <f t="shared" ref="M145:M176" si="78">ROUND(IF(C145="L",(L145-G145),(G145-L145)),4)</f>
        <v>-12.75</v>
      </c>
      <c r="N145" s="182">
        <f t="shared" ref="N145:N176" si="79">IFERROR(ROUND((M145/I145),2),"")</f>
        <v>-1</v>
      </c>
      <c r="O145" s="183">
        <f t="shared" ref="O145:O176" si="80">IF(D145="O",IF(N145&lt;0,N145,0),0)</f>
        <v>0</v>
      </c>
      <c r="P145" s="184">
        <f t="shared" ref="P145:P176" si="81">IF(N145&gt;= 0,N145,0)</f>
        <v>0</v>
      </c>
      <c r="Q145" s="184">
        <f t="shared" ref="Q145:Q176" si="82">IF(N145&lt;0,N145,0)</f>
        <v>-1</v>
      </c>
      <c r="R14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25522.5</v>
      </c>
      <c r="T14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26712.5</v>
      </c>
      <c r="U145" s="186">
        <f ca="1">IF(Tabla336106734812[[#This Row],[Equity]]&lt;Tabla336106734812[[#This Row],[Equity Peak]],(Tabla336106734812[[#This Row],[Equity Peak]]-Tabla336106734812[[#This Row],[Equity]])/Tabla336106734812[[#This Row],[Equity Peak]],"")</f>
        <v>4.4548432381843708E-2</v>
      </c>
      <c r="V145" s="187">
        <f t="shared" ref="V145:V176" si="83">IF(B145="FX",N145,0)</f>
        <v>0</v>
      </c>
      <c r="W145" s="187">
        <f t="shared" ref="W145:W176" si="84">IF(D145="O",IF(V145&lt;0,V145,0),0)</f>
        <v>0</v>
      </c>
      <c r="X145" s="187">
        <f t="shared" ref="X145:X176" si="85">IF(B145="COM",N145,0)</f>
        <v>0</v>
      </c>
      <c r="Y145" s="187">
        <f t="shared" ref="Y145:Y176" si="86">IF(D145="O",IF(X145&lt;0,X145,0),0)</f>
        <v>0</v>
      </c>
      <c r="Z145" s="187">
        <f t="shared" ref="Z145:Z176" si="87">IF(B145="IND",N145,0)</f>
        <v>-1</v>
      </c>
      <c r="AA145" s="183">
        <f t="shared" ref="AA145:AA176" si="88">IF(D145="O",IF(Z145&lt;0,Z145,0),0)</f>
        <v>0</v>
      </c>
      <c r="AB145" s="187">
        <f t="shared" ref="AB145:AB176" si="89">IF(B145="CRYPTO",N145,0)</f>
        <v>0</v>
      </c>
      <c r="AC145" s="183">
        <f t="shared" ref="AC145:AC176" si="90">IF(D145="O",IF(AB145&lt;0,AB145,0),0)</f>
        <v>0</v>
      </c>
      <c r="AD145" s="188">
        <f t="shared" ref="AD145:AD176" si="91">IF(K145&lt;&gt;"",K145-E145,0)</f>
        <v>5.8333333334303461E-2</v>
      </c>
      <c r="AE145" s="188">
        <f t="shared" ref="AE145:AE176" si="92">IF(N145&gt;0,AD145,0)</f>
        <v>0</v>
      </c>
      <c r="AF145" s="188">
        <f t="shared" ref="AF145:AF176" si="93">IF(N145&lt;0,AD145,0)</f>
        <v>5.8333333334303461E-2</v>
      </c>
      <c r="AG145" s="188">
        <f t="shared" ref="AG145:AG176" si="94">IF(N145=0,AD145,0)</f>
        <v>0</v>
      </c>
    </row>
    <row r="146" spans="2:33" ht="15" customHeight="1" x14ac:dyDescent="0.15">
      <c r="B146" s="174" t="s">
        <v>5</v>
      </c>
      <c r="C146" s="175" t="s">
        <v>15</v>
      </c>
      <c r="D146" s="176" t="str">
        <f t="shared" si="76"/>
        <v>C</v>
      </c>
      <c r="E146" s="177" t="d">
        <v>2021-05-03T10:30:00.000</v>
      </c>
      <c r="F146" s="178" t="s">
        <v>82</v>
      </c>
      <c r="G146" s="179">
        <v>4205.51</v>
      </c>
      <c r="H146" s="179">
        <v>4192.8900000000003</v>
      </c>
      <c r="I146" s="180">
        <f t="shared" si="77"/>
        <v>12.619999999999891</v>
      </c>
      <c r="J146" s="179">
        <v>4287.53</v>
      </c>
      <c r="K146" s="177" t="d">
        <v>2021-05-03T12:36:59.99999969266355025</v>
      </c>
      <c r="L146" s="179">
        <v>4192.8900000000003</v>
      </c>
      <c r="M146" s="181">
        <f t="shared" si="78"/>
        <v>-12.62</v>
      </c>
      <c r="N146" s="182">
        <f t="shared" si="79"/>
        <v>-1</v>
      </c>
      <c r="O146" s="183">
        <f t="shared" si="80"/>
        <v>0</v>
      </c>
      <c r="P146" s="184">
        <f t="shared" si="81"/>
        <v>0</v>
      </c>
      <c r="Q146" s="184">
        <f t="shared" si="82"/>
        <v>-1</v>
      </c>
      <c r="R14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25772.5</v>
      </c>
      <c r="T14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26712.5</v>
      </c>
      <c r="U146" s="186">
        <f ca="1">IF(Tabla336106734812[[#This Row],[Equity]]&lt;Tabla336106734812[[#This Row],[Equity Peak]],(Tabla336106734812[[#This Row],[Equity Peak]]-Tabla336106734812[[#This Row],[Equity]])/Tabla336106734812[[#This Row],[Equity Peak]],"")</f>
        <v>3.5189518015910151E-2</v>
      </c>
      <c r="V146" s="187">
        <f t="shared" si="83"/>
        <v>0</v>
      </c>
      <c r="W146" s="187">
        <f t="shared" si="84"/>
        <v>0</v>
      </c>
      <c r="X146" s="187">
        <f t="shared" si="85"/>
        <v>0</v>
      </c>
      <c r="Y146" s="187">
        <f t="shared" si="86"/>
        <v>0</v>
      </c>
      <c r="Z146" s="187">
        <f t="shared" si="87"/>
        <v>-1</v>
      </c>
      <c r="AA146" s="183">
        <f t="shared" si="88"/>
        <v>0</v>
      </c>
      <c r="AB146" s="187">
        <f t="shared" si="89"/>
        <v>0</v>
      </c>
      <c r="AC146" s="183">
        <f t="shared" si="90"/>
        <v>0</v>
      </c>
      <c r="AD146" s="188">
        <f t="shared" si="91"/>
        <v>8.819444444088731E-2</v>
      </c>
      <c r="AE146" s="188">
        <f t="shared" si="92"/>
        <v>0</v>
      </c>
      <c r="AF146" s="188">
        <f t="shared" si="93"/>
        <v>8.819444444088731E-2</v>
      </c>
      <c r="AG146" s="188">
        <f t="shared" si="94"/>
        <v>0</v>
      </c>
    </row>
    <row r="147" spans="2:33" ht="15" customHeight="1" x14ac:dyDescent="0.15">
      <c r="B147" s="174" t="s">
        <v>5</v>
      </c>
      <c r="C147" s="175" t="s">
        <v>13</v>
      </c>
      <c r="D147" s="176" t="str">
        <f t="shared" si="76"/>
        <v>C</v>
      </c>
      <c r="E147" s="177" t="d">
        <v>2021-04-30T18:30:00.00000020954757600</v>
      </c>
      <c r="F147" s="178" t="s">
        <v>82</v>
      </c>
      <c r="G147" s="179">
        <v>4181.6899999999996</v>
      </c>
      <c r="H147" s="179">
        <v>4193.79</v>
      </c>
      <c r="I147" s="180">
        <f t="shared" si="77"/>
        <v>12.100000000000364</v>
      </c>
      <c r="J147" s="179">
        <v>4103.07</v>
      </c>
      <c r="K147" s="177" t="d">
        <v>2021-05-03T00:59:59.99999979045242400</v>
      </c>
      <c r="L147" s="179">
        <v>4191.4799999999996</v>
      </c>
      <c r="M147" s="181">
        <f t="shared" si="78"/>
        <v>-9.7899999999999991</v>
      </c>
      <c r="N147" s="182">
        <f t="shared" si="79"/>
        <v>-0.81</v>
      </c>
      <c r="O147" s="183">
        <f t="shared" si="80"/>
        <v>0</v>
      </c>
      <c r="P147" s="184">
        <f t="shared" si="81"/>
        <v>0</v>
      </c>
      <c r="Q147" s="184">
        <f t="shared" si="82"/>
        <v>-0.81</v>
      </c>
      <c r="R14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26022.5</v>
      </c>
      <c r="T14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26712.5</v>
      </c>
      <c r="U147" s="186">
        <f ca="1">IF(Tabla336106734812[[#This Row],[Equity]]&lt;Tabla336106734812[[#This Row],[Equity Peak]],(Tabla336106734812[[#This Row],[Equity Peak]]-Tabla336106734812[[#This Row],[Equity]])/Tabla336106734812[[#This Row],[Equity Peak]],"")</f>
        <v>2.5830603649976604E-2</v>
      </c>
      <c r="V147" s="187">
        <f t="shared" si="83"/>
        <v>0</v>
      </c>
      <c r="W147" s="187">
        <f t="shared" si="84"/>
        <v>0</v>
      </c>
      <c r="X147" s="187">
        <f t="shared" si="85"/>
        <v>0</v>
      </c>
      <c r="Y147" s="187">
        <f t="shared" si="86"/>
        <v>0</v>
      </c>
      <c r="Z147" s="187">
        <f t="shared" si="87"/>
        <v>-0.81</v>
      </c>
      <c r="AA147" s="183">
        <f t="shared" si="88"/>
        <v>0</v>
      </c>
      <c r="AB147" s="187">
        <f t="shared" si="89"/>
        <v>0</v>
      </c>
      <c r="AC147" s="183">
        <f t="shared" si="90"/>
        <v>0</v>
      </c>
      <c r="AD147" s="188">
        <f t="shared" si="91"/>
        <v>2.2708333333284827</v>
      </c>
      <c r="AE147" s="188">
        <f t="shared" si="92"/>
        <v>0</v>
      </c>
      <c r="AF147" s="188">
        <f t="shared" si="93"/>
        <v>2.2708333333284827</v>
      </c>
      <c r="AG147" s="188">
        <f t="shared" si="94"/>
        <v>0</v>
      </c>
    </row>
    <row r="148" spans="2:33" ht="15" customHeight="1" x14ac:dyDescent="0.15">
      <c r="B148" s="174" t="s">
        <v>5</v>
      </c>
      <c r="C148" s="175" t="s">
        <v>15</v>
      </c>
      <c r="D148" s="176" t="str">
        <f t="shared" si="76"/>
        <v>C</v>
      </c>
      <c r="E148" s="177" t="d">
        <v>2021-04-29T04:30:00.000</v>
      </c>
      <c r="F148" s="178" t="s">
        <v>82</v>
      </c>
      <c r="G148" s="179">
        <v>4205.3</v>
      </c>
      <c r="H148" s="179">
        <v>4192.37</v>
      </c>
      <c r="I148" s="180">
        <f t="shared" si="77"/>
        <v>12.930000000000291</v>
      </c>
      <c r="J148" s="179">
        <v>4289.37</v>
      </c>
      <c r="K148" s="177" t="d">
        <v>2021-04-29T17:06:59.99999969266355025</v>
      </c>
      <c r="L148" s="179">
        <v>4205.91</v>
      </c>
      <c r="M148" s="181">
        <f t="shared" si="78"/>
        <v>0.61</v>
      </c>
      <c r="N148" s="182">
        <f t="shared" si="79"/>
        <v>0.05</v>
      </c>
      <c r="O148" s="183">
        <f t="shared" si="80"/>
        <v>0</v>
      </c>
      <c r="P148" s="184">
        <f t="shared" si="81"/>
        <v>0.05</v>
      </c>
      <c r="Q148" s="184">
        <f t="shared" si="82"/>
        <v>0</v>
      </c>
      <c r="R14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26225</v>
      </c>
      <c r="T14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26712.5</v>
      </c>
      <c r="U148" s="186">
        <f ca="1">IF(Tabla336106734812[[#This Row],[Equity]]&lt;Tabla336106734812[[#This Row],[Equity Peak]],(Tabla336106734812[[#This Row],[Equity Peak]]-Tabla336106734812[[#This Row],[Equity]])/Tabla336106734812[[#This Row],[Equity Peak]],"")</f>
        <v>1.8249883013570427E-2</v>
      </c>
      <c r="V148" s="187">
        <f t="shared" si="83"/>
        <v>0</v>
      </c>
      <c r="W148" s="187">
        <f t="shared" si="84"/>
        <v>0</v>
      </c>
      <c r="X148" s="187">
        <f t="shared" si="85"/>
        <v>0</v>
      </c>
      <c r="Y148" s="187">
        <f t="shared" si="86"/>
        <v>0</v>
      </c>
      <c r="Z148" s="187">
        <f t="shared" si="87"/>
        <v>0.05</v>
      </c>
      <c r="AA148" s="183">
        <f t="shared" si="88"/>
        <v>0</v>
      </c>
      <c r="AB148" s="187">
        <f t="shared" si="89"/>
        <v>0</v>
      </c>
      <c r="AC148" s="183">
        <f t="shared" si="90"/>
        <v>0</v>
      </c>
      <c r="AD148" s="188">
        <f t="shared" si="91"/>
        <v>0.52569444444088731</v>
      </c>
      <c r="AE148" s="188">
        <f t="shared" si="92"/>
        <v>0.52569444444088731</v>
      </c>
      <c r="AF148" s="188">
        <f t="shared" si="93"/>
        <v>0</v>
      </c>
      <c r="AG148" s="188">
        <f t="shared" si="94"/>
        <v>0</v>
      </c>
    </row>
    <row r="149" spans="2:33" ht="15" customHeight="1" x14ac:dyDescent="0.15">
      <c r="B149" s="174" t="s">
        <v>5</v>
      </c>
      <c r="C149" s="175" t="s">
        <v>15</v>
      </c>
      <c r="D149" s="176" t="str">
        <f t="shared" si="76"/>
        <v>C</v>
      </c>
      <c r="E149" s="177" t="d">
        <v>2021-04-28T21:45:00.000</v>
      </c>
      <c r="F149" s="178" t="s">
        <v>82</v>
      </c>
      <c r="G149" s="179">
        <v>4200.97</v>
      </c>
      <c r="H149" s="179">
        <v>4188.3100000000004</v>
      </c>
      <c r="I149" s="180">
        <f t="shared" si="77"/>
        <v>12.659999999999854</v>
      </c>
      <c r="J149" s="179">
        <v>4283.28</v>
      </c>
      <c r="K149" s="177" t="d">
        <v>2021-04-28T22:09:00.00000029336660775</v>
      </c>
      <c r="L149" s="179">
        <v>4188.3100000000004</v>
      </c>
      <c r="M149" s="181">
        <f t="shared" si="78"/>
        <v>-12.66</v>
      </c>
      <c r="N149" s="182">
        <f t="shared" si="79"/>
        <v>-1</v>
      </c>
      <c r="O149" s="183">
        <f t="shared" si="80"/>
        <v>0</v>
      </c>
      <c r="P149" s="184">
        <f t="shared" si="81"/>
        <v>0</v>
      </c>
      <c r="Q149" s="184">
        <f t="shared" si="82"/>
        <v>-1</v>
      </c>
      <c r="R14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4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26212.5</v>
      </c>
      <c r="T14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26712.5</v>
      </c>
      <c r="U149" s="186">
        <f ca="1">IF(Tabla336106734812[[#This Row],[Equity]]&lt;Tabla336106734812[[#This Row],[Equity Peak]],(Tabla336106734812[[#This Row],[Equity Peak]]-Tabla336106734812[[#This Row],[Equity]])/Tabla336106734812[[#This Row],[Equity Peak]],"")</f>
        <v>1.8717828731867104E-2</v>
      </c>
      <c r="V149" s="187">
        <f t="shared" si="83"/>
        <v>0</v>
      </c>
      <c r="W149" s="187">
        <f t="shared" si="84"/>
        <v>0</v>
      </c>
      <c r="X149" s="187">
        <f t="shared" si="85"/>
        <v>0</v>
      </c>
      <c r="Y149" s="187">
        <f t="shared" si="86"/>
        <v>0</v>
      </c>
      <c r="Z149" s="187">
        <f t="shared" si="87"/>
        <v>-1</v>
      </c>
      <c r="AA149" s="183">
        <f t="shared" si="88"/>
        <v>0</v>
      </c>
      <c r="AB149" s="187">
        <f t="shared" si="89"/>
        <v>0</v>
      </c>
      <c r="AC149" s="183">
        <f t="shared" si="90"/>
        <v>0</v>
      </c>
      <c r="AD149" s="188">
        <f t="shared" si="91"/>
        <v>1.6666666670062114E-2</v>
      </c>
      <c r="AE149" s="188">
        <f t="shared" si="92"/>
        <v>0</v>
      </c>
      <c r="AF149" s="188">
        <f t="shared" si="93"/>
        <v>1.6666666670062114E-2</v>
      </c>
      <c r="AG149" s="188">
        <f t="shared" si="94"/>
        <v>0</v>
      </c>
    </row>
    <row r="150" spans="2:33" ht="15" customHeight="1" x14ac:dyDescent="0.15">
      <c r="B150" s="174" t="s">
        <v>5</v>
      </c>
      <c r="C150" s="175" t="s">
        <v>15</v>
      </c>
      <c r="D150" s="176" t="str">
        <f t="shared" si="76"/>
        <v>C</v>
      </c>
      <c r="E150" s="177" t="d">
        <v>2021-04-28T17:00:00.00000020954757600</v>
      </c>
      <c r="F150" s="178" t="s">
        <v>82</v>
      </c>
      <c r="G150" s="179">
        <v>4197.2</v>
      </c>
      <c r="H150" s="179">
        <v>4184.88</v>
      </c>
      <c r="I150" s="180">
        <f t="shared" si="77"/>
        <v>12.319999999999709</v>
      </c>
      <c r="J150" s="179">
        <v>4277.28</v>
      </c>
      <c r="K150" s="177" t="d">
        <v>2021-04-28T19:00:59.99999998603016475</v>
      </c>
      <c r="L150" s="179">
        <v>4184.88</v>
      </c>
      <c r="M150" s="181">
        <f t="shared" si="78"/>
        <v>-12.32</v>
      </c>
      <c r="N150" s="182">
        <f t="shared" si="79"/>
        <v>-1</v>
      </c>
      <c r="O150" s="183">
        <f t="shared" si="80"/>
        <v>0</v>
      </c>
      <c r="P150" s="184">
        <f t="shared" si="81"/>
        <v>0</v>
      </c>
      <c r="Q150" s="184">
        <f t="shared" si="82"/>
        <v>-1</v>
      </c>
      <c r="R15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26462.5</v>
      </c>
      <c r="T15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26712.5</v>
      </c>
      <c r="U150" s="186">
        <f ca="1">IF(Tabla336106734812[[#This Row],[Equity]]&lt;Tabla336106734812[[#This Row],[Equity Peak]],(Tabla336106734812[[#This Row],[Equity Peak]]-Tabla336106734812[[#This Row],[Equity]])/Tabla336106734812[[#This Row],[Equity Peak]],"")</f>
        <v>9.358914365933552E-3</v>
      </c>
      <c r="V150" s="187">
        <f t="shared" si="83"/>
        <v>0</v>
      </c>
      <c r="W150" s="187">
        <f t="shared" si="84"/>
        <v>0</v>
      </c>
      <c r="X150" s="187">
        <f t="shared" si="85"/>
        <v>0</v>
      </c>
      <c r="Y150" s="187">
        <f t="shared" si="86"/>
        <v>0</v>
      </c>
      <c r="Z150" s="187">
        <f t="shared" si="87"/>
        <v>-1</v>
      </c>
      <c r="AA150" s="183">
        <f t="shared" si="88"/>
        <v>0</v>
      </c>
      <c r="AB150" s="187">
        <f t="shared" si="89"/>
        <v>0</v>
      </c>
      <c r="AC150" s="183">
        <f t="shared" si="90"/>
        <v>0</v>
      </c>
      <c r="AD150" s="188">
        <f t="shared" si="91"/>
        <v>8.4027777775190771E-2</v>
      </c>
      <c r="AE150" s="188">
        <f t="shared" si="92"/>
        <v>0</v>
      </c>
      <c r="AF150" s="188">
        <f t="shared" si="93"/>
        <v>8.4027777775190771E-2</v>
      </c>
      <c r="AG150" s="188">
        <f t="shared" si="94"/>
        <v>0</v>
      </c>
    </row>
    <row r="151" spans="2:33" ht="15" customHeight="1" x14ac:dyDescent="0.15">
      <c r="B151" s="174" t="s">
        <v>5</v>
      </c>
      <c r="C151" s="175" t="s">
        <v>15</v>
      </c>
      <c r="D151" s="176" t="str">
        <f t="shared" si="76"/>
        <v>C</v>
      </c>
      <c r="E151" s="177" t="d">
        <v>2021-04-23T17:00:00.00000020954757600</v>
      </c>
      <c r="F151" s="178" t="s">
        <v>82</v>
      </c>
      <c r="G151" s="179">
        <v>4155.54</v>
      </c>
      <c r="H151" s="179">
        <v>4140.3500000000004</v>
      </c>
      <c r="I151" s="180">
        <f t="shared" si="77"/>
        <v>15.1899999999996</v>
      </c>
      <c r="J151" s="179">
        <v>4254.24</v>
      </c>
      <c r="K151" s="177" t="d">
        <v>2021-04-23T23:51:59.99999969266355025</v>
      </c>
      <c r="L151" s="179">
        <v>4175.41</v>
      </c>
      <c r="M151" s="181">
        <f t="shared" si="78"/>
        <v>19.87</v>
      </c>
      <c r="N151" s="182">
        <f t="shared" si="79"/>
        <v>1.31</v>
      </c>
      <c r="O151" s="183">
        <f t="shared" si="80"/>
        <v>0</v>
      </c>
      <c r="P151" s="184">
        <f t="shared" si="81"/>
        <v>1.31</v>
      </c>
      <c r="Q151" s="184">
        <f t="shared" si="82"/>
        <v>0</v>
      </c>
      <c r="R15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26712.5</v>
      </c>
      <c r="T15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26712.5</v>
      </c>
      <c r="U151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51" s="187">
        <f t="shared" si="83"/>
        <v>0</v>
      </c>
      <c r="W151" s="187">
        <f t="shared" si="84"/>
        <v>0</v>
      </c>
      <c r="X151" s="187">
        <f t="shared" si="85"/>
        <v>0</v>
      </c>
      <c r="Y151" s="187">
        <f t="shared" si="86"/>
        <v>0</v>
      </c>
      <c r="Z151" s="187">
        <f t="shared" si="87"/>
        <v>1.31</v>
      </c>
      <c r="AA151" s="183">
        <f t="shared" si="88"/>
        <v>0</v>
      </c>
      <c r="AB151" s="187">
        <f t="shared" si="89"/>
        <v>0</v>
      </c>
      <c r="AC151" s="183">
        <f t="shared" si="90"/>
        <v>0</v>
      </c>
      <c r="AD151" s="188">
        <f t="shared" si="91"/>
        <v>0.28611111110512866</v>
      </c>
      <c r="AE151" s="188">
        <f t="shared" si="92"/>
        <v>0.28611111110512866</v>
      </c>
      <c r="AF151" s="188">
        <f t="shared" si="93"/>
        <v>0</v>
      </c>
      <c r="AG151" s="188">
        <f t="shared" si="94"/>
        <v>0</v>
      </c>
    </row>
    <row r="152" spans="2:33" ht="15" customHeight="1" x14ac:dyDescent="0.15">
      <c r="B152" s="174" t="s">
        <v>5</v>
      </c>
      <c r="C152" s="175" t="s">
        <v>13</v>
      </c>
      <c r="D152" s="176" t="str">
        <f t="shared" si="76"/>
        <v>C</v>
      </c>
      <c r="E152" s="177" t="d">
        <v>2021-04-22T20:45:00.00000020954757600</v>
      </c>
      <c r="F152" s="178" t="s">
        <v>82</v>
      </c>
      <c r="G152" s="179">
        <v>4140.93</v>
      </c>
      <c r="H152" s="179">
        <v>4155.75</v>
      </c>
      <c r="I152" s="180">
        <f t="shared" si="77"/>
        <v>14.819999999999709</v>
      </c>
      <c r="J152" s="179">
        <v>4044.58</v>
      </c>
      <c r="K152" s="177" t="d">
        <v>2021-04-22T21:42:00.0000000419095125</v>
      </c>
      <c r="L152" s="179">
        <v>4146.29</v>
      </c>
      <c r="M152" s="181">
        <f t="shared" si="78"/>
        <v>-5.36</v>
      </c>
      <c r="N152" s="182">
        <f t="shared" si="79"/>
        <v>-0.36</v>
      </c>
      <c r="O152" s="183">
        <f t="shared" si="80"/>
        <v>0</v>
      </c>
      <c r="P152" s="184">
        <f t="shared" si="81"/>
        <v>0</v>
      </c>
      <c r="Q152" s="184">
        <f t="shared" si="82"/>
        <v>-0.36</v>
      </c>
      <c r="R15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26385</v>
      </c>
      <c r="T15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26487.5</v>
      </c>
      <c r="U152" s="186">
        <f ca="1">IF(Tabla336106734812[[#This Row],[Equity]]&lt;Tabla336106734812[[#This Row],[Equity Peak]],(Tabla336106734812[[#This Row],[Equity Peak]]-Tabla336106734812[[#This Row],[Equity]])/Tabla336106734812[[#This Row],[Equity Peak]],"")</f>
        <v>3.8697498820198205E-3</v>
      </c>
      <c r="V152" s="187">
        <f t="shared" si="83"/>
        <v>0</v>
      </c>
      <c r="W152" s="187">
        <f t="shared" si="84"/>
        <v>0</v>
      </c>
      <c r="X152" s="187">
        <f t="shared" si="85"/>
        <v>0</v>
      </c>
      <c r="Y152" s="187">
        <f t="shared" si="86"/>
        <v>0</v>
      </c>
      <c r="Z152" s="187">
        <f t="shared" si="87"/>
        <v>-0.36</v>
      </c>
      <c r="AA152" s="183">
        <f t="shared" si="88"/>
        <v>0</v>
      </c>
      <c r="AB152" s="187">
        <f t="shared" si="89"/>
        <v>0</v>
      </c>
      <c r="AC152" s="183">
        <f t="shared" si="90"/>
        <v>0</v>
      </c>
      <c r="AD152" s="188">
        <f t="shared" si="91"/>
        <v>3.9583333331393078E-2</v>
      </c>
      <c r="AE152" s="188">
        <f t="shared" si="92"/>
        <v>0</v>
      </c>
      <c r="AF152" s="188">
        <f t="shared" si="93"/>
        <v>3.9583333331393078E-2</v>
      </c>
      <c r="AG152" s="188">
        <f t="shared" si="94"/>
        <v>0</v>
      </c>
    </row>
    <row r="153" spans="2:33" ht="15" customHeight="1" x14ac:dyDescent="0.15">
      <c r="B153" s="174" t="s">
        <v>5</v>
      </c>
      <c r="C153" s="175" t="s">
        <v>15</v>
      </c>
      <c r="D153" s="176" t="str">
        <f t="shared" si="76"/>
        <v>C</v>
      </c>
      <c r="E153" s="177" t="d">
        <v>2021-04-21T17:00:00.00000020954757600</v>
      </c>
      <c r="F153" s="178" t="s">
        <v>82</v>
      </c>
      <c r="G153" s="179">
        <v>4148.53</v>
      </c>
      <c r="H153" s="179">
        <v>4134.76</v>
      </c>
      <c r="I153" s="180">
        <f t="shared" si="77"/>
        <v>13.769999999999527</v>
      </c>
      <c r="J153" s="179">
        <v>4238.04</v>
      </c>
      <c r="K153" s="177" t="d">
        <v>2021-04-22T16:38:59.99999987427145575</v>
      </c>
      <c r="L153" s="179">
        <v>4160.6499999999996</v>
      </c>
      <c r="M153" s="181">
        <f t="shared" si="78"/>
        <v>12.12</v>
      </c>
      <c r="N153" s="182">
        <f t="shared" si="79"/>
        <v>0.88</v>
      </c>
      <c r="O153" s="183">
        <f t="shared" si="80"/>
        <v>0</v>
      </c>
      <c r="P153" s="184">
        <f t="shared" si="81"/>
        <v>0.88</v>
      </c>
      <c r="Q153" s="184">
        <f t="shared" si="82"/>
        <v>0</v>
      </c>
      <c r="R15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26475</v>
      </c>
      <c r="T15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26487.5</v>
      </c>
      <c r="U153" s="186">
        <f ca="1">IF(Tabla336106734812[[#This Row],[Equity]]&lt;Tabla336106734812[[#This Row],[Equity Peak]],(Tabla336106734812[[#This Row],[Equity Peak]]-Tabla336106734812[[#This Row],[Equity]])/Tabla336106734812[[#This Row],[Equity Peak]],"")</f>
        <v>4.7192071731949034E-4</v>
      </c>
      <c r="V153" s="187">
        <f t="shared" si="83"/>
        <v>0</v>
      </c>
      <c r="W153" s="187">
        <f t="shared" si="84"/>
        <v>0</v>
      </c>
      <c r="X153" s="187">
        <f t="shared" si="85"/>
        <v>0</v>
      </c>
      <c r="Y153" s="187">
        <f t="shared" si="86"/>
        <v>0</v>
      </c>
      <c r="Z153" s="187">
        <f t="shared" si="87"/>
        <v>0.88</v>
      </c>
      <c r="AA153" s="183">
        <f t="shared" si="88"/>
        <v>0</v>
      </c>
      <c r="AB153" s="187">
        <f t="shared" si="89"/>
        <v>0</v>
      </c>
      <c r="AC153" s="183">
        <f t="shared" si="90"/>
        <v>0</v>
      </c>
      <c r="AD153" s="188">
        <f t="shared" si="91"/>
        <v>0.98541666666278616</v>
      </c>
      <c r="AE153" s="188">
        <f t="shared" si="92"/>
        <v>0.98541666666278616</v>
      </c>
      <c r="AF153" s="188">
        <f t="shared" si="93"/>
        <v>0</v>
      </c>
      <c r="AG153" s="188">
        <f t="shared" si="94"/>
        <v>0</v>
      </c>
    </row>
    <row r="154" spans="2:33" ht="15" customHeight="1" x14ac:dyDescent="0.15">
      <c r="B154" s="174" t="s">
        <v>5</v>
      </c>
      <c r="C154" s="175" t="s">
        <v>13</v>
      </c>
      <c r="D154" s="176" t="str">
        <f t="shared" si="76"/>
        <v>C</v>
      </c>
      <c r="E154" s="177" t="d">
        <v>2021-04-20T18:00:00.000</v>
      </c>
      <c r="F154" s="178" t="s">
        <v>82</v>
      </c>
      <c r="G154" s="179">
        <v>4136.91</v>
      </c>
      <c r="H154" s="179">
        <v>4150.1499999999996</v>
      </c>
      <c r="I154" s="180">
        <f t="shared" si="77"/>
        <v>13.239999999999782</v>
      </c>
      <c r="J154" s="179">
        <v>4050.86</v>
      </c>
      <c r="K154" s="177" t="d">
        <v>2021-04-20T22:35:59.99999991618096825</v>
      </c>
      <c r="L154" s="179">
        <v>4135.92</v>
      </c>
      <c r="M154" s="181">
        <f t="shared" si="78"/>
        <v>0.99</v>
      </c>
      <c r="N154" s="182">
        <f t="shared" si="79"/>
        <v>7.0000000000000007E-2</v>
      </c>
      <c r="O154" s="183">
        <f t="shared" si="80"/>
        <v>0</v>
      </c>
      <c r="P154" s="184">
        <f t="shared" si="81"/>
        <v>7.0000000000000007E-2</v>
      </c>
      <c r="Q154" s="184">
        <f t="shared" si="82"/>
        <v>0</v>
      </c>
      <c r="R15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26255</v>
      </c>
      <c r="T15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26487.5</v>
      </c>
      <c r="U154" s="186">
        <f ca="1">IF(Tabla336106734812[[#This Row],[Equity]]&lt;Tabla336106734812[[#This Row],[Equity Peak]],(Tabla336106734812[[#This Row],[Equity Peak]]-Tabla336106734812[[#This Row],[Equity]])/Tabla336106734812[[#This Row],[Equity Peak]],"")</f>
        <v>8.7777253421425193E-3</v>
      </c>
      <c r="V154" s="187">
        <f t="shared" si="83"/>
        <v>0</v>
      </c>
      <c r="W154" s="187">
        <f t="shared" si="84"/>
        <v>0</v>
      </c>
      <c r="X154" s="187">
        <f t="shared" si="85"/>
        <v>0</v>
      </c>
      <c r="Y154" s="187">
        <f t="shared" si="86"/>
        <v>0</v>
      </c>
      <c r="Z154" s="187">
        <f t="shared" si="87"/>
        <v>7.0000000000000007E-2</v>
      </c>
      <c r="AA154" s="183">
        <f t="shared" si="88"/>
        <v>0</v>
      </c>
      <c r="AB154" s="187">
        <f t="shared" si="89"/>
        <v>0</v>
      </c>
      <c r="AC154" s="183">
        <f t="shared" si="90"/>
        <v>0</v>
      </c>
      <c r="AD154" s="188">
        <f t="shared" si="91"/>
        <v>0.19166666666569654</v>
      </c>
      <c r="AE154" s="188">
        <f t="shared" si="92"/>
        <v>0.19166666666569654</v>
      </c>
      <c r="AF154" s="188">
        <f t="shared" si="93"/>
        <v>0</v>
      </c>
      <c r="AG154" s="188">
        <f t="shared" si="94"/>
        <v>0</v>
      </c>
    </row>
    <row r="155" spans="2:33" ht="15" customHeight="1" x14ac:dyDescent="0.15">
      <c r="B155" s="174" t="s">
        <v>5</v>
      </c>
      <c r="C155" s="175" t="s">
        <v>13</v>
      </c>
      <c r="D155" s="176" t="str">
        <f t="shared" si="76"/>
        <v>C</v>
      </c>
      <c r="E155" s="177" t="d">
        <v>2021-04-20T13:44:59.99999979045242400</v>
      </c>
      <c r="F155" s="178" t="s">
        <v>82</v>
      </c>
      <c r="G155" s="179">
        <v>4142.41</v>
      </c>
      <c r="H155" s="179">
        <v>4155.1000000000004</v>
      </c>
      <c r="I155" s="180">
        <f t="shared" si="77"/>
        <v>12.690000000000509</v>
      </c>
      <c r="J155" s="179">
        <v>4059.89</v>
      </c>
      <c r="K155" s="177" t="d">
        <v>2021-04-20T16:15:00.00000020954757600</v>
      </c>
      <c r="L155" s="179">
        <v>4155.1000000000004</v>
      </c>
      <c r="M155" s="181">
        <f t="shared" si="78"/>
        <v>-12.69</v>
      </c>
      <c r="N155" s="182">
        <f t="shared" si="79"/>
        <v>-1</v>
      </c>
      <c r="O155" s="183">
        <f t="shared" si="80"/>
        <v>0</v>
      </c>
      <c r="P155" s="184">
        <f t="shared" si="81"/>
        <v>0</v>
      </c>
      <c r="Q155" s="184">
        <f t="shared" si="82"/>
        <v>-1</v>
      </c>
      <c r="R15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26237.5</v>
      </c>
      <c r="T15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26487.5</v>
      </c>
      <c r="U155" s="186">
        <f ca="1">IF(Tabla336106734812[[#This Row],[Equity]]&lt;Tabla336106734812[[#This Row],[Equity Peak]],(Tabla336106734812[[#This Row],[Equity Peak]]-Tabla336106734812[[#This Row],[Equity]])/Tabla336106734812[[#This Row],[Equity Peak]],"")</f>
        <v>9.4384143463898066E-3</v>
      </c>
      <c r="V155" s="187">
        <f t="shared" si="83"/>
        <v>0</v>
      </c>
      <c r="W155" s="187">
        <f t="shared" si="84"/>
        <v>0</v>
      </c>
      <c r="X155" s="187">
        <f t="shared" si="85"/>
        <v>0</v>
      </c>
      <c r="Y155" s="187">
        <f t="shared" si="86"/>
        <v>0</v>
      </c>
      <c r="Z155" s="187">
        <f t="shared" si="87"/>
        <v>-1</v>
      </c>
      <c r="AA155" s="183">
        <f t="shared" si="88"/>
        <v>0</v>
      </c>
      <c r="AB155" s="187">
        <f t="shared" si="89"/>
        <v>0</v>
      </c>
      <c r="AC155" s="183">
        <f t="shared" si="90"/>
        <v>0</v>
      </c>
      <c r="AD155" s="188">
        <f t="shared" si="91"/>
        <v>0.10416666667151731</v>
      </c>
      <c r="AE155" s="188">
        <f t="shared" si="92"/>
        <v>0</v>
      </c>
      <c r="AF155" s="188">
        <f t="shared" si="93"/>
        <v>0.10416666667151731</v>
      </c>
      <c r="AG155" s="188">
        <f t="shared" si="94"/>
        <v>0</v>
      </c>
    </row>
    <row r="156" spans="2:33" ht="15" customHeight="1" x14ac:dyDescent="0.15">
      <c r="B156" s="174" t="s">
        <v>5</v>
      </c>
      <c r="C156" s="175" t="s">
        <v>15</v>
      </c>
      <c r="D156" s="176" t="str">
        <f t="shared" si="76"/>
        <v>C</v>
      </c>
      <c r="E156" s="177" t="d">
        <v>2021-04-15T14:00:00.00000020954757600</v>
      </c>
      <c r="F156" s="178" t="s">
        <v>82</v>
      </c>
      <c r="G156" s="179">
        <v>4149.07</v>
      </c>
      <c r="H156" s="179">
        <v>4137.13</v>
      </c>
      <c r="I156" s="180">
        <f t="shared" si="77"/>
        <v>11.9399999999996</v>
      </c>
      <c r="J156" s="179">
        <v>4226.6899999999996</v>
      </c>
      <c r="K156" s="177" t="d">
        <v>2021-04-16T16:51:59.99999990221113300</v>
      </c>
      <c r="L156" s="179">
        <v>4174.76</v>
      </c>
      <c r="M156" s="181">
        <f t="shared" si="78"/>
        <v>25.69</v>
      </c>
      <c r="N156" s="182">
        <f t="shared" si="79"/>
        <v>2.15</v>
      </c>
      <c r="O156" s="183">
        <f t="shared" si="80"/>
        <v>0</v>
      </c>
      <c r="P156" s="184">
        <f t="shared" si="81"/>
        <v>2.15</v>
      </c>
      <c r="Q156" s="184">
        <f t="shared" si="82"/>
        <v>0</v>
      </c>
      <c r="R15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26487.5</v>
      </c>
      <c r="T15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26487.5</v>
      </c>
      <c r="U156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56" s="187">
        <f t="shared" si="83"/>
        <v>0</v>
      </c>
      <c r="W156" s="187">
        <f t="shared" si="84"/>
        <v>0</v>
      </c>
      <c r="X156" s="187">
        <f t="shared" si="85"/>
        <v>0</v>
      </c>
      <c r="Y156" s="187">
        <f t="shared" si="86"/>
        <v>0</v>
      </c>
      <c r="Z156" s="187">
        <f t="shared" si="87"/>
        <v>2.15</v>
      </c>
      <c r="AA156" s="183">
        <f t="shared" si="88"/>
        <v>0</v>
      </c>
      <c r="AB156" s="187">
        <f t="shared" si="89"/>
        <v>0</v>
      </c>
      <c r="AC156" s="183">
        <f t="shared" si="90"/>
        <v>0</v>
      </c>
      <c r="AD156" s="188">
        <f t="shared" si="91"/>
        <v>1.1194444444408873</v>
      </c>
      <c r="AE156" s="188">
        <f t="shared" si="92"/>
        <v>1.1194444444408873</v>
      </c>
      <c r="AF156" s="188">
        <f t="shared" si="93"/>
        <v>0</v>
      </c>
      <c r="AG156" s="188">
        <f t="shared" si="94"/>
        <v>0</v>
      </c>
    </row>
    <row r="157" spans="2:33" ht="15" customHeight="1" x14ac:dyDescent="0.15">
      <c r="B157" s="174" t="s">
        <v>5</v>
      </c>
      <c r="C157" s="175" t="s">
        <v>15</v>
      </c>
      <c r="D157" s="176" t="str">
        <f t="shared" si="76"/>
        <v>C</v>
      </c>
      <c r="E157" s="177" t="d">
        <v>2021-04-13T21:14:59.99999979045242400</v>
      </c>
      <c r="F157" s="178" t="s">
        <v>82</v>
      </c>
      <c r="G157" s="179">
        <v>4140.43</v>
      </c>
      <c r="H157" s="179">
        <v>4128.47</v>
      </c>
      <c r="I157" s="180">
        <f t="shared" si="77"/>
        <v>11.960000000000036</v>
      </c>
      <c r="J157" s="179">
        <v>4218.2</v>
      </c>
      <c r="K157" s="177" t="d">
        <v>2021-04-14T20:51:00.00000012572854425</v>
      </c>
      <c r="L157" s="179">
        <v>4140.63</v>
      </c>
      <c r="M157" s="181">
        <f t="shared" si="78"/>
        <v>0.2</v>
      </c>
      <c r="N157" s="182">
        <f t="shared" si="79"/>
        <v>0.02</v>
      </c>
      <c r="O157" s="183">
        <f t="shared" si="80"/>
        <v>0</v>
      </c>
      <c r="P157" s="184">
        <f t="shared" si="81"/>
        <v>0.02</v>
      </c>
      <c r="Q157" s="184">
        <f t="shared" si="82"/>
        <v>0</v>
      </c>
      <c r="R15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25950</v>
      </c>
      <c r="T15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26055</v>
      </c>
      <c r="U157" s="186">
        <f ca="1">IF(Tabla336106734812[[#This Row],[Equity]]&lt;Tabla336106734812[[#This Row],[Equity Peak]],(Tabla336106734812[[#This Row],[Equity Peak]]-Tabla336106734812[[#This Row],[Equity]])/Tabla336106734812[[#This Row],[Equity Peak]],"")</f>
        <v>4.0299366724237187E-3</v>
      </c>
      <c r="V157" s="187">
        <f t="shared" si="83"/>
        <v>0</v>
      </c>
      <c r="W157" s="187">
        <f t="shared" si="84"/>
        <v>0</v>
      </c>
      <c r="X157" s="187">
        <f t="shared" si="85"/>
        <v>0</v>
      </c>
      <c r="Y157" s="187">
        <f t="shared" si="86"/>
        <v>0</v>
      </c>
      <c r="Z157" s="187">
        <f t="shared" si="87"/>
        <v>0.02</v>
      </c>
      <c r="AA157" s="183">
        <f t="shared" si="88"/>
        <v>0</v>
      </c>
      <c r="AB157" s="187">
        <f t="shared" si="89"/>
        <v>0</v>
      </c>
      <c r="AC157" s="183">
        <f t="shared" si="90"/>
        <v>0</v>
      </c>
      <c r="AD157" s="188">
        <f t="shared" si="91"/>
        <v>0.98333333333721384</v>
      </c>
      <c r="AE157" s="188">
        <f t="shared" si="92"/>
        <v>0.98333333333721384</v>
      </c>
      <c r="AF157" s="188">
        <f t="shared" si="93"/>
        <v>0</v>
      </c>
      <c r="AG157" s="188">
        <f t="shared" si="94"/>
        <v>0</v>
      </c>
    </row>
    <row r="158" spans="2:33" ht="15" customHeight="1" x14ac:dyDescent="0.15">
      <c r="B158" s="174" t="s">
        <v>5</v>
      </c>
      <c r="C158" s="175" t="s">
        <v>15</v>
      </c>
      <c r="D158" s="176" t="str">
        <f t="shared" si="76"/>
        <v>C</v>
      </c>
      <c r="E158" s="177" t="d">
        <v>2021-04-07T23:29:59.99999979045242400</v>
      </c>
      <c r="F158" s="178" t="s">
        <v>82</v>
      </c>
      <c r="G158" s="179">
        <v>4084.8</v>
      </c>
      <c r="H158" s="179">
        <v>4073.76</v>
      </c>
      <c r="I158" s="180">
        <f t="shared" si="77"/>
        <v>11.039999999999964</v>
      </c>
      <c r="J158" s="179">
        <v>4156.55</v>
      </c>
      <c r="K158" s="177" t="d">
        <v>2021-04-08T11:39:00.00000029336660775</v>
      </c>
      <c r="L158" s="179">
        <v>4090.93</v>
      </c>
      <c r="M158" s="181">
        <f t="shared" si="78"/>
        <v>6.13</v>
      </c>
      <c r="N158" s="182">
        <f t="shared" si="79"/>
        <v>0.56000000000000005</v>
      </c>
      <c r="O158" s="183">
        <f t="shared" si="80"/>
        <v>0</v>
      </c>
      <c r="P158" s="184">
        <f t="shared" si="81"/>
        <v>0.56000000000000005</v>
      </c>
      <c r="Q158" s="184">
        <f t="shared" si="82"/>
        <v>0</v>
      </c>
      <c r="R15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25945</v>
      </c>
      <c r="T15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26055</v>
      </c>
      <c r="U158" s="186">
        <f ca="1">IF(Tabla336106734812[[#This Row],[Equity]]&lt;Tabla336106734812[[#This Row],[Equity Peak]],(Tabla336106734812[[#This Row],[Equity Peak]]-Tabla336106734812[[#This Row],[Equity]])/Tabla336106734812[[#This Row],[Equity Peak]],"")</f>
        <v>4.2218384187296103E-3</v>
      </c>
      <c r="V158" s="187">
        <f t="shared" si="83"/>
        <v>0</v>
      </c>
      <c r="W158" s="187">
        <f t="shared" si="84"/>
        <v>0</v>
      </c>
      <c r="X158" s="187">
        <f t="shared" si="85"/>
        <v>0</v>
      </c>
      <c r="Y158" s="187">
        <f t="shared" si="86"/>
        <v>0</v>
      </c>
      <c r="Z158" s="187">
        <f t="shared" si="87"/>
        <v>0.56000000000000005</v>
      </c>
      <c r="AA158" s="183">
        <f t="shared" si="88"/>
        <v>0</v>
      </c>
      <c r="AB158" s="187">
        <f t="shared" si="89"/>
        <v>0</v>
      </c>
      <c r="AC158" s="183">
        <f t="shared" si="90"/>
        <v>0</v>
      </c>
      <c r="AD158" s="188">
        <f t="shared" si="91"/>
        <v>0.50625000000582077</v>
      </c>
      <c r="AE158" s="188">
        <f t="shared" si="92"/>
        <v>0.50625000000582077</v>
      </c>
      <c r="AF158" s="188">
        <f t="shared" si="93"/>
        <v>0</v>
      </c>
      <c r="AG158" s="188">
        <f t="shared" si="94"/>
        <v>0</v>
      </c>
    </row>
    <row r="159" spans="2:33" ht="15" customHeight="1" x14ac:dyDescent="0.15">
      <c r="B159" s="174" t="s">
        <v>5</v>
      </c>
      <c r="C159" s="175" t="s">
        <v>15</v>
      </c>
      <c r="D159" s="176" t="str">
        <f t="shared" si="76"/>
        <v>C</v>
      </c>
      <c r="E159" s="177" t="d">
        <v>2021-04-07T17:29:59.99999979045242400</v>
      </c>
      <c r="F159" s="178" t="s">
        <v>82</v>
      </c>
      <c r="G159" s="179">
        <v>4083.8</v>
      </c>
      <c r="H159" s="179">
        <v>4072.79</v>
      </c>
      <c r="I159" s="180">
        <f t="shared" si="77"/>
        <v>11.010000000000218</v>
      </c>
      <c r="J159" s="179">
        <v>4155.37</v>
      </c>
      <c r="K159" s="177" t="d">
        <v>2021-04-07T18:39:00.00000008381903175</v>
      </c>
      <c r="L159" s="179">
        <v>4072.79</v>
      </c>
      <c r="M159" s="181">
        <f t="shared" si="78"/>
        <v>-11.01</v>
      </c>
      <c r="N159" s="182">
        <f t="shared" si="79"/>
        <v>-1</v>
      </c>
      <c r="O159" s="183">
        <f t="shared" si="80"/>
        <v>0</v>
      </c>
      <c r="P159" s="184">
        <f t="shared" si="81"/>
        <v>0</v>
      </c>
      <c r="Q159" s="184">
        <f t="shared" si="82"/>
        <v>-1</v>
      </c>
      <c r="R15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5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25805</v>
      </c>
      <c r="T15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26055</v>
      </c>
      <c r="U159" s="186">
        <f ca="1">IF(Tabla336106734812[[#This Row],[Equity]]&lt;Tabla336106734812[[#This Row],[Equity Peak]],(Tabla336106734812[[#This Row],[Equity Peak]]-Tabla336106734812[[#This Row],[Equity]])/Tabla336106734812[[#This Row],[Equity Peak]],"")</f>
        <v>9.5950873152945686E-3</v>
      </c>
      <c r="V159" s="187">
        <f t="shared" si="83"/>
        <v>0</v>
      </c>
      <c r="W159" s="187">
        <f t="shared" si="84"/>
        <v>0</v>
      </c>
      <c r="X159" s="187">
        <f t="shared" si="85"/>
        <v>0</v>
      </c>
      <c r="Y159" s="187">
        <f t="shared" si="86"/>
        <v>0</v>
      </c>
      <c r="Z159" s="187">
        <f t="shared" si="87"/>
        <v>-1</v>
      </c>
      <c r="AA159" s="183">
        <f t="shared" si="88"/>
        <v>0</v>
      </c>
      <c r="AB159" s="187">
        <f t="shared" si="89"/>
        <v>0</v>
      </c>
      <c r="AC159" s="183">
        <f t="shared" si="90"/>
        <v>0</v>
      </c>
      <c r="AD159" s="188">
        <f t="shared" si="91"/>
        <v>4.7916666670062114E-2</v>
      </c>
      <c r="AE159" s="188">
        <f t="shared" si="92"/>
        <v>0</v>
      </c>
      <c r="AF159" s="188">
        <f t="shared" si="93"/>
        <v>4.7916666670062114E-2</v>
      </c>
      <c r="AG159" s="188">
        <f t="shared" si="94"/>
        <v>0</v>
      </c>
    </row>
    <row r="160" spans="2:33" ht="15" customHeight="1" x14ac:dyDescent="0.15">
      <c r="B160" s="174" t="s">
        <v>5</v>
      </c>
      <c r="C160" s="175" t="s">
        <v>15</v>
      </c>
      <c r="D160" s="176" t="str">
        <f t="shared" si="76"/>
        <v>C</v>
      </c>
      <c r="E160" s="177" t="d">
        <v>2021-04-01T15:59:59.99999979045242400</v>
      </c>
      <c r="F160" s="178" t="s">
        <v>82</v>
      </c>
      <c r="G160" s="179">
        <v>3997.27</v>
      </c>
      <c r="H160" s="179">
        <v>3980.45</v>
      </c>
      <c r="I160" s="180">
        <f t="shared" si="77"/>
        <v>16.820000000000164</v>
      </c>
      <c r="J160" s="179">
        <v>4106.58</v>
      </c>
      <c r="K160" s="177" t="d">
        <v>2021-04-06T05:09:00.00000008381903175</v>
      </c>
      <c r="L160" s="179">
        <v>4072.14</v>
      </c>
      <c r="M160" s="181">
        <f t="shared" si="78"/>
        <v>74.87</v>
      </c>
      <c r="N160" s="182">
        <f t="shared" si="79"/>
        <v>4.45</v>
      </c>
      <c r="O160" s="183">
        <f t="shared" si="80"/>
        <v>0</v>
      </c>
      <c r="P160" s="184">
        <f t="shared" si="81"/>
        <v>4.45</v>
      </c>
      <c r="Q160" s="184">
        <f t="shared" si="82"/>
        <v>0</v>
      </c>
      <c r="R16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26055</v>
      </c>
      <c r="T16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26055</v>
      </c>
      <c r="U160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60" s="187">
        <f t="shared" si="83"/>
        <v>0</v>
      </c>
      <c r="W160" s="187">
        <f t="shared" si="84"/>
        <v>0</v>
      </c>
      <c r="X160" s="187">
        <f t="shared" si="85"/>
        <v>0</v>
      </c>
      <c r="Y160" s="187">
        <f t="shared" si="86"/>
        <v>0</v>
      </c>
      <c r="Z160" s="187">
        <f t="shared" si="87"/>
        <v>4.45</v>
      </c>
      <c r="AA160" s="183">
        <f t="shared" si="88"/>
        <v>0</v>
      </c>
      <c r="AB160" s="187">
        <f t="shared" si="89"/>
        <v>0</v>
      </c>
      <c r="AC160" s="183">
        <f t="shared" si="90"/>
        <v>0</v>
      </c>
      <c r="AD160" s="188">
        <f t="shared" si="91"/>
        <v>4.5479166666700621</v>
      </c>
      <c r="AE160" s="188">
        <f t="shared" si="92"/>
        <v>4.5479166666700621</v>
      </c>
      <c r="AF160" s="188">
        <f t="shared" si="93"/>
        <v>0</v>
      </c>
      <c r="AG160" s="188">
        <f t="shared" si="94"/>
        <v>0</v>
      </c>
    </row>
    <row r="161" spans="2:33" ht="15" customHeight="1" x14ac:dyDescent="0.15">
      <c r="B161" s="174" t="s">
        <v>5</v>
      </c>
      <c r="C161" s="175" t="s">
        <v>15</v>
      </c>
      <c r="D161" s="176" t="str">
        <f t="shared" si="76"/>
        <v>C</v>
      </c>
      <c r="E161" s="177" t="d">
        <v>2021-03-31T16:44:59.99999979045242400</v>
      </c>
      <c r="F161" s="178" t="s">
        <v>82</v>
      </c>
      <c r="G161" s="179">
        <v>3976.37</v>
      </c>
      <c r="H161" s="179">
        <v>3957.05</v>
      </c>
      <c r="I161" s="180">
        <f t="shared" si="77"/>
        <v>19.319999999999709</v>
      </c>
      <c r="J161" s="179">
        <v>4101.95</v>
      </c>
      <c r="K161" s="177" t="d">
        <v>2021-03-31T23:09:00.00000008381903175</v>
      </c>
      <c r="L161" s="179">
        <v>3975.35</v>
      </c>
      <c r="M161" s="181">
        <f t="shared" si="78"/>
        <v>-1.02</v>
      </c>
      <c r="N161" s="182">
        <f t="shared" si="79"/>
        <v>-0.05</v>
      </c>
      <c r="O161" s="183">
        <f t="shared" si="80"/>
        <v>0</v>
      </c>
      <c r="P161" s="184">
        <f t="shared" si="81"/>
        <v>0</v>
      </c>
      <c r="Q161" s="184">
        <f t="shared" si="82"/>
        <v>-0.05</v>
      </c>
      <c r="R16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24942.5</v>
      </c>
      <c r="T16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25857.5</v>
      </c>
      <c r="U161" s="186">
        <f ca="1">IF(Tabla336106734812[[#This Row],[Equity]]&lt;Tabla336106734812[[#This Row],[Equity Peak]],(Tabla336106734812[[#This Row],[Equity Peak]]-Tabla336106734812[[#This Row],[Equity]])/Tabla336106734812[[#This Row],[Equity Peak]],"")</f>
        <v>3.5386251571110895E-2</v>
      </c>
      <c r="V161" s="187">
        <f t="shared" si="83"/>
        <v>0</v>
      </c>
      <c r="W161" s="187">
        <f t="shared" si="84"/>
        <v>0</v>
      </c>
      <c r="X161" s="187">
        <f t="shared" si="85"/>
        <v>0</v>
      </c>
      <c r="Y161" s="187">
        <f t="shared" si="86"/>
        <v>0</v>
      </c>
      <c r="Z161" s="187">
        <f t="shared" si="87"/>
        <v>-0.05</v>
      </c>
      <c r="AA161" s="183">
        <f t="shared" si="88"/>
        <v>0</v>
      </c>
      <c r="AB161" s="187">
        <f t="shared" si="89"/>
        <v>0</v>
      </c>
      <c r="AC161" s="183">
        <f t="shared" si="90"/>
        <v>0</v>
      </c>
      <c r="AD161" s="188">
        <f t="shared" si="91"/>
        <v>0.26666666667006211</v>
      </c>
      <c r="AE161" s="188">
        <f t="shared" si="92"/>
        <v>0</v>
      </c>
      <c r="AF161" s="188">
        <f t="shared" si="93"/>
        <v>0.26666666667006211</v>
      </c>
      <c r="AG161" s="188">
        <f t="shared" si="94"/>
        <v>0</v>
      </c>
    </row>
    <row r="162" spans="2:33" ht="15" customHeight="1" x14ac:dyDescent="0.15">
      <c r="B162" s="174" t="s">
        <v>5</v>
      </c>
      <c r="C162" s="175" t="s">
        <v>15</v>
      </c>
      <c r="D162" s="176" t="str">
        <f t="shared" si="76"/>
        <v>C</v>
      </c>
      <c r="E162" s="177" t="d">
        <v>2021-03-26T02:29:59.99999979045242400</v>
      </c>
      <c r="F162" s="178" t="s">
        <v>82</v>
      </c>
      <c r="G162" s="179">
        <v>3922.96</v>
      </c>
      <c r="H162" s="179">
        <v>3902.13</v>
      </c>
      <c r="I162" s="180">
        <f t="shared" si="77"/>
        <v>20.829999999999927</v>
      </c>
      <c r="J162" s="179">
        <v>4058.36</v>
      </c>
      <c r="K162" s="177" t="d">
        <v>2021-03-26T21:08:59.99999987427145575</v>
      </c>
      <c r="L162" s="179">
        <v>3925.25</v>
      </c>
      <c r="M162" s="181">
        <f t="shared" si="78"/>
        <v>2.29</v>
      </c>
      <c r="N162" s="182">
        <f t="shared" si="79"/>
        <v>0.11</v>
      </c>
      <c r="O162" s="183">
        <f t="shared" si="80"/>
        <v>0</v>
      </c>
      <c r="P162" s="184">
        <f t="shared" si="81"/>
        <v>0.11</v>
      </c>
      <c r="Q162" s="184">
        <f t="shared" si="82"/>
        <v>0</v>
      </c>
      <c r="R16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24955</v>
      </c>
      <c r="T16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25857.5</v>
      </c>
      <c r="U162" s="186">
        <f ca="1">IF(Tabla336106734812[[#This Row],[Equity]]&lt;Tabla336106734812[[#This Row],[Equity Peak]],(Tabla336106734812[[#This Row],[Equity Peak]]-Tabla336106734812[[#This Row],[Equity]])/Tabla336106734812[[#This Row],[Equity Peak]],"")</f>
        <v>3.4902832833800641E-2</v>
      </c>
      <c r="V162" s="187">
        <f t="shared" si="83"/>
        <v>0</v>
      </c>
      <c r="W162" s="187">
        <f t="shared" si="84"/>
        <v>0</v>
      </c>
      <c r="X162" s="187">
        <f t="shared" si="85"/>
        <v>0</v>
      </c>
      <c r="Y162" s="187">
        <f t="shared" si="86"/>
        <v>0</v>
      </c>
      <c r="Z162" s="187">
        <f t="shared" si="87"/>
        <v>0.11</v>
      </c>
      <c r="AA162" s="183">
        <f t="shared" si="88"/>
        <v>0</v>
      </c>
      <c r="AB162" s="187">
        <f t="shared" si="89"/>
        <v>0</v>
      </c>
      <c r="AC162" s="183">
        <f t="shared" si="90"/>
        <v>0</v>
      </c>
      <c r="AD162" s="188">
        <f t="shared" si="91"/>
        <v>0.77708333333430346</v>
      </c>
      <c r="AE162" s="188">
        <f t="shared" si="92"/>
        <v>0.77708333333430346</v>
      </c>
      <c r="AF162" s="188">
        <f t="shared" si="93"/>
        <v>0</v>
      </c>
      <c r="AG162" s="188">
        <f t="shared" si="94"/>
        <v>0</v>
      </c>
    </row>
    <row r="163" spans="2:33" ht="15" customHeight="1" x14ac:dyDescent="0.15">
      <c r="B163" s="174" t="s">
        <v>5</v>
      </c>
      <c r="C163" s="175" t="s">
        <v>13</v>
      </c>
      <c r="D163" s="176" t="str">
        <f t="shared" si="76"/>
        <v>C</v>
      </c>
      <c r="E163" s="177" t="d">
        <v>2021-03-24T22:44:59.99999979045242400</v>
      </c>
      <c r="F163" s="178" t="s">
        <v>82</v>
      </c>
      <c r="G163" s="179">
        <v>3902.97</v>
      </c>
      <c r="H163" s="179">
        <v>3923.69</v>
      </c>
      <c r="I163" s="180">
        <f t="shared" si="77"/>
        <v>20.720000000000255</v>
      </c>
      <c r="J163" s="179">
        <v>3768.29</v>
      </c>
      <c r="K163" s="177" t="d">
        <v>2021-03-25T18:53:59.99999987427145575</v>
      </c>
      <c r="L163" s="179">
        <v>3884.42</v>
      </c>
      <c r="M163" s="181">
        <f t="shared" si="78"/>
        <v>18.55</v>
      </c>
      <c r="N163" s="182">
        <f t="shared" si="79"/>
        <v>0.9</v>
      </c>
      <c r="O163" s="183">
        <f t="shared" si="80"/>
        <v>0</v>
      </c>
      <c r="P163" s="184">
        <f t="shared" si="81"/>
        <v>0.9</v>
      </c>
      <c r="Q163" s="184">
        <f t="shared" si="82"/>
        <v>0</v>
      </c>
      <c r="R16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24927.5</v>
      </c>
      <c r="T16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25857.5</v>
      </c>
      <c r="U163" s="186">
        <f ca="1">IF(Tabla336106734812[[#This Row],[Equity]]&lt;Tabla336106734812[[#This Row],[Equity Peak]],(Tabla336106734812[[#This Row],[Equity Peak]]-Tabla336106734812[[#This Row],[Equity]])/Tabla336106734812[[#This Row],[Equity Peak]],"")</f>
        <v>3.5966354055883207E-2</v>
      </c>
      <c r="V163" s="187">
        <f t="shared" si="83"/>
        <v>0</v>
      </c>
      <c r="W163" s="187">
        <f t="shared" si="84"/>
        <v>0</v>
      </c>
      <c r="X163" s="187">
        <f t="shared" si="85"/>
        <v>0</v>
      </c>
      <c r="Y163" s="187">
        <f t="shared" si="86"/>
        <v>0</v>
      </c>
      <c r="Z163" s="187">
        <f t="shared" si="87"/>
        <v>0.9</v>
      </c>
      <c r="AA163" s="183">
        <f t="shared" si="88"/>
        <v>0</v>
      </c>
      <c r="AB163" s="187">
        <f t="shared" si="89"/>
        <v>0</v>
      </c>
      <c r="AC163" s="183">
        <f t="shared" si="90"/>
        <v>0</v>
      </c>
      <c r="AD163" s="188">
        <f t="shared" si="91"/>
        <v>0.83958333333430346</v>
      </c>
      <c r="AE163" s="188">
        <f t="shared" si="92"/>
        <v>0.83958333333430346</v>
      </c>
      <c r="AF163" s="188">
        <f t="shared" si="93"/>
        <v>0</v>
      </c>
      <c r="AG163" s="188">
        <f t="shared" si="94"/>
        <v>0</v>
      </c>
    </row>
    <row r="164" spans="2:33" ht="15" customHeight="1" x14ac:dyDescent="0.15">
      <c r="B164" s="174" t="s">
        <v>5</v>
      </c>
      <c r="C164" s="175" t="s">
        <v>15</v>
      </c>
      <c r="D164" s="176" t="str">
        <f t="shared" si="76"/>
        <v>C</v>
      </c>
      <c r="E164" s="177" t="d">
        <v>2021-03-24T16:44:59.99999979045242400</v>
      </c>
      <c r="F164" s="178" t="s">
        <v>82</v>
      </c>
      <c r="G164" s="179">
        <v>3932.5</v>
      </c>
      <c r="H164" s="179">
        <v>3913.09</v>
      </c>
      <c r="I164" s="180">
        <f t="shared" si="77"/>
        <v>19.409999999999854</v>
      </c>
      <c r="J164" s="179">
        <v>4058.64</v>
      </c>
      <c r="K164" s="177" t="d">
        <v>2021-03-24T20:13:00.00000023748725325</v>
      </c>
      <c r="L164" s="179">
        <v>3919.68</v>
      </c>
      <c r="M164" s="181">
        <f t="shared" si="78"/>
        <v>-12.82</v>
      </c>
      <c r="N164" s="182">
        <f t="shared" si="79"/>
        <v>-0.66</v>
      </c>
      <c r="O164" s="183">
        <f t="shared" si="80"/>
        <v>0</v>
      </c>
      <c r="P164" s="184">
        <f t="shared" si="81"/>
        <v>0</v>
      </c>
      <c r="Q164" s="184">
        <f t="shared" si="82"/>
        <v>-0.66</v>
      </c>
      <c r="R16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24702.5</v>
      </c>
      <c r="T16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25857.5</v>
      </c>
      <c r="U164" s="186">
        <f ca="1">IF(Tabla336106734812[[#This Row],[Equity]]&lt;Tabla336106734812[[#This Row],[Equity Peak]],(Tabla336106734812[[#This Row],[Equity Peak]]-Tabla336106734812[[#This Row],[Equity]])/Tabla336106734812[[#This Row],[Equity Peak]],"")</f>
        <v>4.4667891327467853E-2</v>
      </c>
      <c r="V164" s="187">
        <f t="shared" si="83"/>
        <v>0</v>
      </c>
      <c r="W164" s="187">
        <f t="shared" si="84"/>
        <v>0</v>
      </c>
      <c r="X164" s="187">
        <f t="shared" si="85"/>
        <v>0</v>
      </c>
      <c r="Y164" s="187">
        <f t="shared" si="86"/>
        <v>0</v>
      </c>
      <c r="Z164" s="187">
        <f t="shared" si="87"/>
        <v>-0.66</v>
      </c>
      <c r="AA164" s="183">
        <f t="shared" si="88"/>
        <v>0</v>
      </c>
      <c r="AB164" s="187">
        <f t="shared" si="89"/>
        <v>0</v>
      </c>
      <c r="AC164" s="183">
        <f t="shared" si="90"/>
        <v>0</v>
      </c>
      <c r="AD164" s="188">
        <f t="shared" si="91"/>
        <v>0.14444444444961846</v>
      </c>
      <c r="AE164" s="188">
        <f t="shared" si="92"/>
        <v>0</v>
      </c>
      <c r="AF164" s="188">
        <f t="shared" si="93"/>
        <v>0.14444444444961846</v>
      </c>
      <c r="AG164" s="188">
        <f t="shared" si="94"/>
        <v>0</v>
      </c>
    </row>
    <row r="165" spans="2:33" ht="15" customHeight="1" x14ac:dyDescent="0.15">
      <c r="B165" s="174" t="s">
        <v>5</v>
      </c>
      <c r="C165" s="175" t="s">
        <v>13</v>
      </c>
      <c r="D165" s="176" t="str">
        <f t="shared" si="76"/>
        <v>C</v>
      </c>
      <c r="E165" s="177" t="d">
        <v>2021-03-23T22:15:00.00000020954757600</v>
      </c>
      <c r="F165" s="178" t="s">
        <v>82</v>
      </c>
      <c r="G165" s="179">
        <v>3916.18</v>
      </c>
      <c r="H165" s="179">
        <v>3936.36</v>
      </c>
      <c r="I165" s="180">
        <f t="shared" si="77"/>
        <v>20.180000000000291</v>
      </c>
      <c r="J165" s="179">
        <v>3785.04</v>
      </c>
      <c r="K165" s="177" t="d">
        <v>2021-03-24T11:54:00.00000008381903175</v>
      </c>
      <c r="L165" s="179">
        <v>3926.31</v>
      </c>
      <c r="M165" s="181">
        <f t="shared" si="78"/>
        <v>-10.130000000000001</v>
      </c>
      <c r="N165" s="182">
        <f t="shared" si="79"/>
        <v>-0.5</v>
      </c>
      <c r="O165" s="183">
        <f t="shared" si="80"/>
        <v>0</v>
      </c>
      <c r="P165" s="184">
        <f t="shared" si="81"/>
        <v>0</v>
      </c>
      <c r="Q165" s="184">
        <f t="shared" si="82"/>
        <v>-0.5</v>
      </c>
      <c r="R16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24867.5</v>
      </c>
      <c r="T16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25857.5</v>
      </c>
      <c r="U165" s="186">
        <f ca="1">IF(Tabla336106734812[[#This Row],[Equity]]&lt;Tabla336106734812[[#This Row],[Equity Peak]],(Tabla336106734812[[#This Row],[Equity Peak]]-Tabla336106734812[[#This Row],[Equity]])/Tabla336106734812[[#This Row],[Equity Peak]],"")</f>
        <v>3.8286763994972446E-2</v>
      </c>
      <c r="V165" s="187">
        <f t="shared" si="83"/>
        <v>0</v>
      </c>
      <c r="W165" s="187">
        <f t="shared" si="84"/>
        <v>0</v>
      </c>
      <c r="X165" s="187">
        <f t="shared" si="85"/>
        <v>0</v>
      </c>
      <c r="Y165" s="187">
        <f t="shared" si="86"/>
        <v>0</v>
      </c>
      <c r="Z165" s="187">
        <f t="shared" si="87"/>
        <v>-0.5</v>
      </c>
      <c r="AA165" s="183">
        <f t="shared" si="88"/>
        <v>0</v>
      </c>
      <c r="AB165" s="187">
        <f t="shared" si="89"/>
        <v>0</v>
      </c>
      <c r="AC165" s="183">
        <f t="shared" si="90"/>
        <v>0</v>
      </c>
      <c r="AD165" s="188">
        <f t="shared" si="91"/>
        <v>0.56874999999854481</v>
      </c>
      <c r="AE165" s="188">
        <f t="shared" si="92"/>
        <v>0</v>
      </c>
      <c r="AF165" s="188">
        <f t="shared" si="93"/>
        <v>0.56874999999854481</v>
      </c>
      <c r="AG165" s="188">
        <f t="shared" si="94"/>
        <v>0</v>
      </c>
    </row>
    <row r="166" spans="2:33" ht="15" customHeight="1" x14ac:dyDescent="0.15">
      <c r="B166" s="174" t="s">
        <v>5</v>
      </c>
      <c r="C166" s="175" t="s">
        <v>13</v>
      </c>
      <c r="D166" s="176" t="str">
        <f t="shared" si="76"/>
        <v>C</v>
      </c>
      <c r="E166" s="177" t="d">
        <v>2021-03-23T11:15:00.000</v>
      </c>
      <c r="F166" s="178" t="s">
        <v>82</v>
      </c>
      <c r="G166" s="179">
        <v>3929.51</v>
      </c>
      <c r="H166" s="179">
        <v>3948.98</v>
      </c>
      <c r="I166" s="180">
        <f t="shared" si="77"/>
        <v>19.4699999999998</v>
      </c>
      <c r="J166" s="179">
        <v>3802.94</v>
      </c>
      <c r="K166" s="177" t="d">
        <v>2021-03-23T17:06:59.99999969266355025</v>
      </c>
      <c r="L166" s="179">
        <v>3943.23</v>
      </c>
      <c r="M166" s="181">
        <f t="shared" si="78"/>
        <v>-13.72</v>
      </c>
      <c r="N166" s="182">
        <f t="shared" si="79"/>
        <v>-0.7</v>
      </c>
      <c r="O166" s="183">
        <f t="shared" si="80"/>
        <v>0</v>
      </c>
      <c r="P166" s="184">
        <f t="shared" si="81"/>
        <v>0</v>
      </c>
      <c r="Q166" s="184">
        <f t="shared" si="82"/>
        <v>-0.7</v>
      </c>
      <c r="R16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24992.5</v>
      </c>
      <c r="T16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25857.5</v>
      </c>
      <c r="U166" s="186">
        <f ca="1">IF(Tabla336106734812[[#This Row],[Equity]]&lt;Tabla336106734812[[#This Row],[Equity Peak]],(Tabla336106734812[[#This Row],[Equity Peak]]-Tabla336106734812[[#This Row],[Equity]])/Tabla336106734812[[#This Row],[Equity Peak]],"")</f>
        <v>3.3452576621869866E-2</v>
      </c>
      <c r="V166" s="187">
        <f t="shared" si="83"/>
        <v>0</v>
      </c>
      <c r="W166" s="187">
        <f t="shared" si="84"/>
        <v>0</v>
      </c>
      <c r="X166" s="187">
        <f t="shared" si="85"/>
        <v>0</v>
      </c>
      <c r="Y166" s="187">
        <f t="shared" si="86"/>
        <v>0</v>
      </c>
      <c r="Z166" s="187">
        <f t="shared" si="87"/>
        <v>-0.7</v>
      </c>
      <c r="AA166" s="183">
        <f t="shared" si="88"/>
        <v>0</v>
      </c>
      <c r="AB166" s="187">
        <f t="shared" si="89"/>
        <v>0</v>
      </c>
      <c r="AC166" s="183">
        <f t="shared" si="90"/>
        <v>0</v>
      </c>
      <c r="AD166" s="188">
        <f t="shared" si="91"/>
        <v>0.24444444444088731</v>
      </c>
      <c r="AE166" s="188">
        <f t="shared" si="92"/>
        <v>0</v>
      </c>
      <c r="AF166" s="188">
        <f t="shared" si="93"/>
        <v>0.24444444444088731</v>
      </c>
      <c r="AG166" s="188">
        <f t="shared" si="94"/>
        <v>0</v>
      </c>
    </row>
    <row r="167" spans="2:33" ht="15" customHeight="1" x14ac:dyDescent="0.15">
      <c r="B167" s="174" t="s">
        <v>5</v>
      </c>
      <c r="C167" s="175" t="s">
        <v>15</v>
      </c>
      <c r="D167" s="176" t="str">
        <f t="shared" si="76"/>
        <v>C</v>
      </c>
      <c r="E167" s="177" t="d">
        <v>2021-03-22T17:15:00.000</v>
      </c>
      <c r="F167" s="178" t="s">
        <v>82</v>
      </c>
      <c r="G167" s="179">
        <v>3931.99</v>
      </c>
      <c r="H167" s="179">
        <v>3912.53</v>
      </c>
      <c r="I167" s="180">
        <f t="shared" si="77"/>
        <v>19.459999999999582</v>
      </c>
      <c r="J167" s="179">
        <v>4058.49</v>
      </c>
      <c r="K167" s="177" t="d">
        <v>2021-03-23T07:54:00.00000029336660775</v>
      </c>
      <c r="L167" s="179">
        <v>3934.84</v>
      </c>
      <c r="M167" s="181">
        <f t="shared" si="78"/>
        <v>2.85</v>
      </c>
      <c r="N167" s="182">
        <f t="shared" si="79"/>
        <v>0.15</v>
      </c>
      <c r="O167" s="183">
        <f t="shared" si="80"/>
        <v>0</v>
      </c>
      <c r="P167" s="184">
        <f t="shared" si="81"/>
        <v>0.15</v>
      </c>
      <c r="Q167" s="184">
        <f t="shared" si="82"/>
        <v>0</v>
      </c>
      <c r="R16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25167.5</v>
      </c>
      <c r="T16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25857.5</v>
      </c>
      <c r="U167" s="186">
        <f ca="1">IF(Tabla336106734812[[#This Row],[Equity]]&lt;Tabla336106734812[[#This Row],[Equity Peak]],(Tabla336106734812[[#This Row],[Equity Peak]]-Tabla336106734812[[#This Row],[Equity]])/Tabla336106734812[[#This Row],[Equity Peak]],"")</f>
        <v>2.6684714299526249E-2</v>
      </c>
      <c r="V167" s="187">
        <f t="shared" si="83"/>
        <v>0</v>
      </c>
      <c r="W167" s="187">
        <f t="shared" si="84"/>
        <v>0</v>
      </c>
      <c r="X167" s="187">
        <f t="shared" si="85"/>
        <v>0</v>
      </c>
      <c r="Y167" s="187">
        <f t="shared" si="86"/>
        <v>0</v>
      </c>
      <c r="Z167" s="187">
        <f t="shared" si="87"/>
        <v>0.15</v>
      </c>
      <c r="AA167" s="183">
        <f t="shared" si="88"/>
        <v>0</v>
      </c>
      <c r="AB167" s="187">
        <f t="shared" si="89"/>
        <v>0</v>
      </c>
      <c r="AC167" s="183">
        <f t="shared" si="90"/>
        <v>0</v>
      </c>
      <c r="AD167" s="188">
        <f t="shared" si="91"/>
        <v>0.61041666667006211</v>
      </c>
      <c r="AE167" s="188">
        <f t="shared" si="92"/>
        <v>0.61041666667006211</v>
      </c>
      <c r="AF167" s="188">
        <f t="shared" si="93"/>
        <v>0</v>
      </c>
      <c r="AG167" s="188">
        <f t="shared" si="94"/>
        <v>0</v>
      </c>
    </row>
    <row r="168" spans="2:33" ht="15" customHeight="1" x14ac:dyDescent="0.15">
      <c r="B168" s="174" t="s">
        <v>5</v>
      </c>
      <c r="C168" s="175" t="s">
        <v>13</v>
      </c>
      <c r="D168" s="176" t="str">
        <f t="shared" si="76"/>
        <v>C</v>
      </c>
      <c r="E168" s="177" t="d">
        <v>2021-03-18T21:45:00.000</v>
      </c>
      <c r="F168" s="178" t="s">
        <v>82</v>
      </c>
      <c r="G168" s="179">
        <v>3931.06</v>
      </c>
      <c r="H168" s="179">
        <v>3949.41</v>
      </c>
      <c r="I168" s="180">
        <f t="shared" si="77"/>
        <v>18.349999999999909</v>
      </c>
      <c r="J168" s="179">
        <v>3811.75</v>
      </c>
      <c r="K168" s="177" t="d">
        <v>2021-03-19T10:45:59.99999998603016475</v>
      </c>
      <c r="L168" s="179">
        <v>3930.63</v>
      </c>
      <c r="M168" s="181">
        <f t="shared" si="78"/>
        <v>0.43</v>
      </c>
      <c r="N168" s="182">
        <f t="shared" si="79"/>
        <v>0.02</v>
      </c>
      <c r="O168" s="183">
        <f t="shared" si="80"/>
        <v>0</v>
      </c>
      <c r="P168" s="184">
        <f t="shared" si="81"/>
        <v>0.02</v>
      </c>
      <c r="Q168" s="184">
        <f t="shared" si="82"/>
        <v>0</v>
      </c>
      <c r="R16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25130</v>
      </c>
      <c r="T16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25857.5</v>
      </c>
      <c r="U168" s="186">
        <f ca="1">IF(Tabla336106734812[[#This Row],[Equity]]&lt;Tabla336106734812[[#This Row],[Equity Peak]],(Tabla336106734812[[#This Row],[Equity Peak]]-Tabla336106734812[[#This Row],[Equity]])/Tabla336106734812[[#This Row],[Equity Peak]],"")</f>
        <v>2.8134970511457025E-2</v>
      </c>
      <c r="V168" s="187">
        <f t="shared" si="83"/>
        <v>0</v>
      </c>
      <c r="W168" s="187">
        <f t="shared" si="84"/>
        <v>0</v>
      </c>
      <c r="X168" s="187">
        <f t="shared" si="85"/>
        <v>0</v>
      </c>
      <c r="Y168" s="187">
        <f t="shared" si="86"/>
        <v>0</v>
      </c>
      <c r="Z168" s="187">
        <f t="shared" si="87"/>
        <v>0.02</v>
      </c>
      <c r="AA168" s="183">
        <f t="shared" si="88"/>
        <v>0</v>
      </c>
      <c r="AB168" s="187">
        <f t="shared" si="89"/>
        <v>0</v>
      </c>
      <c r="AC168" s="183">
        <f t="shared" si="90"/>
        <v>0</v>
      </c>
      <c r="AD168" s="188">
        <f t="shared" si="91"/>
        <v>0.54236111111094942</v>
      </c>
      <c r="AE168" s="188">
        <f t="shared" si="92"/>
        <v>0.54236111111094942</v>
      </c>
      <c r="AF168" s="188">
        <f t="shared" si="93"/>
        <v>0</v>
      </c>
      <c r="AG168" s="188">
        <f t="shared" si="94"/>
        <v>0</v>
      </c>
    </row>
    <row r="169" spans="2:33" ht="15" customHeight="1" x14ac:dyDescent="0.15">
      <c r="B169" s="174" t="s">
        <v>5</v>
      </c>
      <c r="C169" s="175" t="s">
        <v>15</v>
      </c>
      <c r="D169" s="176" t="str">
        <f t="shared" si="76"/>
        <v>C</v>
      </c>
      <c r="E169" s="177" t="d">
        <v>2021-03-17T21:45:00.000</v>
      </c>
      <c r="F169" s="178" t="s">
        <v>82</v>
      </c>
      <c r="G169" s="179">
        <v>3982.26</v>
      </c>
      <c r="H169" s="179">
        <v>3964.92</v>
      </c>
      <c r="I169" s="180">
        <f t="shared" si="77"/>
        <v>17.340000000000146</v>
      </c>
      <c r="J169" s="179">
        <v>4095</v>
      </c>
      <c r="K169" s="177" t="d">
        <v>2021-03-18T10:21:59.99999969266355025</v>
      </c>
      <c r="L169" s="179">
        <v>3972.52</v>
      </c>
      <c r="M169" s="181">
        <f t="shared" si="78"/>
        <v>-9.74</v>
      </c>
      <c r="N169" s="182">
        <f t="shared" si="79"/>
        <v>-0.56000000000000005</v>
      </c>
      <c r="O169" s="183">
        <f t="shared" si="80"/>
        <v>0</v>
      </c>
      <c r="P169" s="184">
        <f t="shared" si="81"/>
        <v>0</v>
      </c>
      <c r="Q169" s="184">
        <f t="shared" si="82"/>
        <v>-0.56000000000000005</v>
      </c>
      <c r="R16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6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25125</v>
      </c>
      <c r="T16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25857.5</v>
      </c>
      <c r="U169" s="186">
        <f ca="1">IF(Tabla336106734812[[#This Row],[Equity]]&lt;Tabla336106734812[[#This Row],[Equity Peak]],(Tabla336106734812[[#This Row],[Equity Peak]]-Tabla336106734812[[#This Row],[Equity]])/Tabla336106734812[[#This Row],[Equity Peak]],"")</f>
        <v>2.8328338006381126E-2</v>
      </c>
      <c r="V169" s="187">
        <f t="shared" si="83"/>
        <v>0</v>
      </c>
      <c r="W169" s="187">
        <f t="shared" si="84"/>
        <v>0</v>
      </c>
      <c r="X169" s="187">
        <f t="shared" si="85"/>
        <v>0</v>
      </c>
      <c r="Y169" s="187">
        <f t="shared" si="86"/>
        <v>0</v>
      </c>
      <c r="Z169" s="187">
        <f t="shared" si="87"/>
        <v>-0.56000000000000005</v>
      </c>
      <c r="AA169" s="183">
        <f t="shared" si="88"/>
        <v>0</v>
      </c>
      <c r="AB169" s="187">
        <f t="shared" si="89"/>
        <v>0</v>
      </c>
      <c r="AC169" s="183">
        <f t="shared" si="90"/>
        <v>0</v>
      </c>
      <c r="AD169" s="188">
        <f t="shared" si="91"/>
        <v>0.52569444444088731</v>
      </c>
      <c r="AE169" s="188">
        <f t="shared" si="92"/>
        <v>0</v>
      </c>
      <c r="AF169" s="188">
        <f t="shared" si="93"/>
        <v>0.52569444444088731</v>
      </c>
      <c r="AG169" s="188">
        <f t="shared" si="94"/>
        <v>0</v>
      </c>
    </row>
    <row r="170" spans="2:33" ht="15" customHeight="1" x14ac:dyDescent="0.15">
      <c r="B170" s="174" t="s">
        <v>5</v>
      </c>
      <c r="C170" s="175" t="s">
        <v>15</v>
      </c>
      <c r="D170" s="176" t="str">
        <f t="shared" si="76"/>
        <v>C</v>
      </c>
      <c r="E170" s="177" t="d">
        <v>2021-03-17T21:14:59.99999979045242400</v>
      </c>
      <c r="F170" s="178" t="s">
        <v>82</v>
      </c>
      <c r="G170" s="179">
        <v>3973.04</v>
      </c>
      <c r="H170" s="179">
        <v>3956.06</v>
      </c>
      <c r="I170" s="180">
        <f t="shared" si="77"/>
        <v>16.980000000000018</v>
      </c>
      <c r="J170" s="179">
        <v>4083.4</v>
      </c>
      <c r="K170" s="177" t="d">
        <v>2021-03-17T21:33:00.00000016763806350</v>
      </c>
      <c r="L170" s="179">
        <v>3956.06</v>
      </c>
      <c r="M170" s="181">
        <f t="shared" si="78"/>
        <v>-16.98</v>
      </c>
      <c r="N170" s="182">
        <f t="shared" si="79"/>
        <v>-1</v>
      </c>
      <c r="O170" s="183">
        <f t="shared" si="80"/>
        <v>0</v>
      </c>
      <c r="P170" s="184">
        <f t="shared" si="81"/>
        <v>0</v>
      </c>
      <c r="Q170" s="184">
        <f t="shared" si="82"/>
        <v>-1</v>
      </c>
      <c r="R17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25265</v>
      </c>
      <c r="T17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25857.5</v>
      </c>
      <c r="U170" s="186">
        <f ca="1">IF(Tabla336106734812[[#This Row],[Equity]]&lt;Tabla336106734812[[#This Row],[Equity Peak]],(Tabla336106734812[[#This Row],[Equity Peak]]-Tabla336106734812[[#This Row],[Equity]])/Tabla336106734812[[#This Row],[Equity Peak]],"")</f>
        <v>2.2914048148506234E-2</v>
      </c>
      <c r="V170" s="187">
        <f t="shared" si="83"/>
        <v>0</v>
      </c>
      <c r="W170" s="187">
        <f t="shared" si="84"/>
        <v>0</v>
      </c>
      <c r="X170" s="187">
        <f t="shared" si="85"/>
        <v>0</v>
      </c>
      <c r="Y170" s="187">
        <f t="shared" si="86"/>
        <v>0</v>
      </c>
      <c r="Z170" s="187">
        <f t="shared" si="87"/>
        <v>-1</v>
      </c>
      <c r="AA170" s="183">
        <f t="shared" si="88"/>
        <v>0</v>
      </c>
      <c r="AB170" s="187">
        <f t="shared" si="89"/>
        <v>0</v>
      </c>
      <c r="AC170" s="183">
        <f t="shared" si="90"/>
        <v>0</v>
      </c>
      <c r="AD170" s="188">
        <f t="shared" si="91"/>
        <v>1.2500000004365575E-2</v>
      </c>
      <c r="AE170" s="188">
        <f t="shared" si="92"/>
        <v>0</v>
      </c>
      <c r="AF170" s="188">
        <f t="shared" si="93"/>
        <v>1.2500000004365575E-2</v>
      </c>
      <c r="AG170" s="188">
        <f t="shared" si="94"/>
        <v>0</v>
      </c>
    </row>
    <row r="171" spans="2:33" ht="15" customHeight="1" x14ac:dyDescent="0.15">
      <c r="B171" s="174" t="s">
        <v>5</v>
      </c>
      <c r="C171" s="175" t="s">
        <v>15</v>
      </c>
      <c r="D171" s="176" t="str">
        <f t="shared" si="76"/>
        <v>C</v>
      </c>
      <c r="E171" s="177" t="d">
        <v>2021-03-15T23:00:00.00000020954757600</v>
      </c>
      <c r="F171" s="178" t="s">
        <v>82</v>
      </c>
      <c r="G171" s="179">
        <v>3967.77</v>
      </c>
      <c r="H171" s="179">
        <v>3947.22</v>
      </c>
      <c r="I171" s="180">
        <f t="shared" si="77"/>
        <v>20.550000000000182</v>
      </c>
      <c r="J171" s="179">
        <v>4101.37</v>
      </c>
      <c r="K171" s="177" t="d">
        <v>2021-03-16T21:24:00.00000029336660775</v>
      </c>
      <c r="L171" s="179">
        <v>3959.44</v>
      </c>
      <c r="M171" s="181">
        <f t="shared" si="78"/>
        <v>-8.33</v>
      </c>
      <c r="N171" s="182">
        <f t="shared" si="79"/>
        <v>-0.41</v>
      </c>
      <c r="O171" s="183">
        <f t="shared" si="80"/>
        <v>0</v>
      </c>
      <c r="P171" s="184">
        <f t="shared" si="81"/>
        <v>0</v>
      </c>
      <c r="Q171" s="184">
        <f t="shared" si="82"/>
        <v>-0.41</v>
      </c>
      <c r="R17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25515</v>
      </c>
      <c r="T17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25857.5</v>
      </c>
      <c r="U171" s="186">
        <f ca="1">IF(Tabla336106734812[[#This Row],[Equity]]&lt;Tabla336106734812[[#This Row],[Equity Peak]],(Tabla336106734812[[#This Row],[Equity Peak]]-Tabla336106734812[[#This Row],[Equity]])/Tabla336106734812[[#This Row],[Equity Peak]],"")</f>
        <v>1.3245673402301074E-2</v>
      </c>
      <c r="V171" s="187">
        <f t="shared" si="83"/>
        <v>0</v>
      </c>
      <c r="W171" s="187">
        <f t="shared" si="84"/>
        <v>0</v>
      </c>
      <c r="X171" s="187">
        <f t="shared" si="85"/>
        <v>0</v>
      </c>
      <c r="Y171" s="187">
        <f t="shared" si="86"/>
        <v>0</v>
      </c>
      <c r="Z171" s="187">
        <f t="shared" si="87"/>
        <v>-0.41</v>
      </c>
      <c r="AA171" s="183">
        <f t="shared" si="88"/>
        <v>0</v>
      </c>
      <c r="AB171" s="187">
        <f t="shared" si="89"/>
        <v>0</v>
      </c>
      <c r="AC171" s="183">
        <f t="shared" si="90"/>
        <v>0</v>
      </c>
      <c r="AD171" s="188">
        <f t="shared" si="91"/>
        <v>0.93333333333430346</v>
      </c>
      <c r="AE171" s="188">
        <f t="shared" si="92"/>
        <v>0</v>
      </c>
      <c r="AF171" s="188">
        <f t="shared" si="93"/>
        <v>0.93333333333430346</v>
      </c>
      <c r="AG171" s="188">
        <f t="shared" si="94"/>
        <v>0</v>
      </c>
    </row>
    <row r="172" spans="2:33" ht="15" customHeight="1" x14ac:dyDescent="0.15">
      <c r="B172" s="174" t="s">
        <v>5</v>
      </c>
      <c r="C172" s="175" t="s">
        <v>15</v>
      </c>
      <c r="D172" s="176" t="str">
        <f t="shared" si="76"/>
        <v>C</v>
      </c>
      <c r="E172" s="177" t="d">
        <v>2021-03-15T02:45:00.00000020954757600</v>
      </c>
      <c r="F172" s="178" t="s">
        <v>82</v>
      </c>
      <c r="G172" s="179">
        <v>3953.23</v>
      </c>
      <c r="H172" s="179">
        <v>3928.83</v>
      </c>
      <c r="I172" s="180">
        <f t="shared" si="77"/>
        <v>24.400000000000091</v>
      </c>
      <c r="J172" s="179">
        <v>4111.83</v>
      </c>
      <c r="K172" s="177" t="d">
        <v>2021-03-15T18:24:00.00000029336660775</v>
      </c>
      <c r="L172" s="179">
        <v>3934.66</v>
      </c>
      <c r="M172" s="181">
        <f t="shared" si="78"/>
        <v>-18.57</v>
      </c>
      <c r="N172" s="182">
        <f t="shared" si="79"/>
        <v>-0.76</v>
      </c>
      <c r="O172" s="183">
        <f t="shared" si="80"/>
        <v>0</v>
      </c>
      <c r="P172" s="184">
        <f t="shared" si="81"/>
        <v>0</v>
      </c>
      <c r="Q172" s="184">
        <f t="shared" si="82"/>
        <v>-0.76</v>
      </c>
      <c r="R17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25617.5</v>
      </c>
      <c r="T17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25857.5</v>
      </c>
      <c r="U172" s="186">
        <f ca="1">IF(Tabla336106734812[[#This Row],[Equity]]&lt;Tabla336106734812[[#This Row],[Equity Peak]],(Tabla336106734812[[#This Row],[Equity Peak]]-Tabla336106734812[[#This Row],[Equity]])/Tabla336106734812[[#This Row],[Equity Peak]],"")</f>
        <v>9.2816397563569557E-3</v>
      </c>
      <c r="V172" s="187">
        <f t="shared" si="83"/>
        <v>0</v>
      </c>
      <c r="W172" s="187">
        <f t="shared" si="84"/>
        <v>0</v>
      </c>
      <c r="X172" s="187">
        <f t="shared" si="85"/>
        <v>0</v>
      </c>
      <c r="Y172" s="187">
        <f t="shared" si="86"/>
        <v>0</v>
      </c>
      <c r="Z172" s="187">
        <f t="shared" si="87"/>
        <v>-0.76</v>
      </c>
      <c r="AA172" s="183">
        <f t="shared" si="88"/>
        <v>0</v>
      </c>
      <c r="AB172" s="187">
        <f t="shared" si="89"/>
        <v>0</v>
      </c>
      <c r="AC172" s="183">
        <f t="shared" si="90"/>
        <v>0</v>
      </c>
      <c r="AD172" s="188">
        <f t="shared" si="91"/>
        <v>0.65208333333430346</v>
      </c>
      <c r="AE172" s="188">
        <f t="shared" si="92"/>
        <v>0</v>
      </c>
      <c r="AF172" s="188">
        <f t="shared" si="93"/>
        <v>0.65208333333430346</v>
      </c>
      <c r="AG172" s="188">
        <f t="shared" si="94"/>
        <v>0</v>
      </c>
    </row>
    <row r="173" spans="2:33" ht="15" customHeight="1" x14ac:dyDescent="0.15">
      <c r="B173" s="174" t="s">
        <v>5</v>
      </c>
      <c r="C173" s="175" t="s">
        <v>15</v>
      </c>
      <c r="D173" s="176" t="str">
        <f t="shared" si="76"/>
        <v>C</v>
      </c>
      <c r="E173" s="177" t="d">
        <v>2021-03-10T15:45:00.000</v>
      </c>
      <c r="F173" s="178" t="s">
        <v>82</v>
      </c>
      <c r="G173" s="179">
        <v>3886.53</v>
      </c>
      <c r="H173" s="179">
        <v>3851.41</v>
      </c>
      <c r="I173" s="180">
        <f t="shared" si="77"/>
        <v>35.120000000000346</v>
      </c>
      <c r="J173" s="179">
        <v>4114.83</v>
      </c>
      <c r="K173" s="177" t="d">
        <v>2021-03-12T09:27:59.99999981839210125</v>
      </c>
      <c r="L173" s="179">
        <v>3926.47</v>
      </c>
      <c r="M173" s="181">
        <f t="shared" si="78"/>
        <v>39.94</v>
      </c>
      <c r="N173" s="182">
        <f t="shared" si="79"/>
        <v>1.1399999999999999</v>
      </c>
      <c r="O173" s="183">
        <f t="shared" si="80"/>
        <v>0</v>
      </c>
      <c r="P173" s="184">
        <f t="shared" si="81"/>
        <v>1.1399999999999999</v>
      </c>
      <c r="Q173" s="184">
        <f t="shared" si="82"/>
        <v>0</v>
      </c>
      <c r="R17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25807.5</v>
      </c>
      <c r="T17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25857.5</v>
      </c>
      <c r="U173" s="186">
        <f ca="1">IF(Tabla336106734812[[#This Row],[Equity]]&lt;Tabla336106734812[[#This Row],[Equity Peak]],(Tabla336106734812[[#This Row],[Equity Peak]]-Tabla336106734812[[#This Row],[Equity]])/Tabla336106734812[[#This Row],[Equity Peak]],"")</f>
        <v>1.9336749492410326E-3</v>
      </c>
      <c r="V173" s="187">
        <f t="shared" si="83"/>
        <v>0</v>
      </c>
      <c r="W173" s="187">
        <f t="shared" si="84"/>
        <v>0</v>
      </c>
      <c r="X173" s="187">
        <f t="shared" si="85"/>
        <v>0</v>
      </c>
      <c r="Y173" s="187">
        <f t="shared" si="86"/>
        <v>0</v>
      </c>
      <c r="Z173" s="187">
        <f t="shared" si="87"/>
        <v>1.1399999999999999</v>
      </c>
      <c r="AA173" s="183">
        <f t="shared" si="88"/>
        <v>0</v>
      </c>
      <c r="AB173" s="187">
        <f t="shared" si="89"/>
        <v>0</v>
      </c>
      <c r="AC173" s="183">
        <f t="shared" si="90"/>
        <v>0</v>
      </c>
      <c r="AD173" s="188">
        <f t="shared" si="91"/>
        <v>1.7381944444423425</v>
      </c>
      <c r="AE173" s="188">
        <f t="shared" si="92"/>
        <v>1.7381944444423425</v>
      </c>
      <c r="AF173" s="188">
        <f t="shared" si="93"/>
        <v>0</v>
      </c>
      <c r="AG173" s="188">
        <f t="shared" si="94"/>
        <v>0</v>
      </c>
    </row>
    <row r="174" spans="2:33" ht="15" customHeight="1" x14ac:dyDescent="0.15">
      <c r="B174" s="174" t="s">
        <v>5</v>
      </c>
      <c r="C174" s="175" t="s">
        <v>15</v>
      </c>
      <c r="D174" s="176" t="str">
        <f t="shared" si="76"/>
        <v>C</v>
      </c>
      <c r="E174" s="177" t="d">
        <v>2021-03-09T17:00:00.00000020954757600</v>
      </c>
      <c r="F174" s="178" t="s">
        <v>82</v>
      </c>
      <c r="G174" s="179">
        <v>3876.65</v>
      </c>
      <c r="H174" s="179">
        <v>3840.47</v>
      </c>
      <c r="I174" s="180">
        <f t="shared" si="77"/>
        <v>36.180000000000291</v>
      </c>
      <c r="J174" s="179">
        <v>4111.84</v>
      </c>
      <c r="K174" s="177" t="d">
        <v>2021-03-10T03:53:59.99999987427145575</v>
      </c>
      <c r="L174" s="179">
        <v>3865.2</v>
      </c>
      <c r="M174" s="181">
        <f t="shared" si="78"/>
        <v>-11.45</v>
      </c>
      <c r="N174" s="182">
        <f t="shared" si="79"/>
        <v>-0.32</v>
      </c>
      <c r="O174" s="183">
        <f t="shared" si="80"/>
        <v>0</v>
      </c>
      <c r="P174" s="184">
        <f t="shared" si="81"/>
        <v>0</v>
      </c>
      <c r="Q174" s="184">
        <f t="shared" si="82"/>
        <v>-0.32</v>
      </c>
      <c r="R17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25522.5</v>
      </c>
      <c r="T17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25857.5</v>
      </c>
      <c r="U174" s="186">
        <f ca="1">IF(Tabla336106734812[[#This Row],[Equity]]&lt;Tabla336106734812[[#This Row],[Equity Peak]],(Tabla336106734812[[#This Row],[Equity Peak]]-Tabla336106734812[[#This Row],[Equity]])/Tabla336106734812[[#This Row],[Equity Peak]],"")</f>
        <v>1.2955622159914918E-2</v>
      </c>
      <c r="V174" s="187">
        <f t="shared" si="83"/>
        <v>0</v>
      </c>
      <c r="W174" s="187">
        <f t="shared" si="84"/>
        <v>0</v>
      </c>
      <c r="X174" s="187">
        <f t="shared" si="85"/>
        <v>0</v>
      </c>
      <c r="Y174" s="187">
        <f t="shared" si="86"/>
        <v>0</v>
      </c>
      <c r="Z174" s="187">
        <f t="shared" si="87"/>
        <v>-0.32</v>
      </c>
      <c r="AA174" s="183">
        <f t="shared" si="88"/>
        <v>0</v>
      </c>
      <c r="AB174" s="187">
        <f t="shared" si="89"/>
        <v>0</v>
      </c>
      <c r="AC174" s="183">
        <f t="shared" si="90"/>
        <v>0</v>
      </c>
      <c r="AD174" s="188">
        <f t="shared" si="91"/>
        <v>0.45416666666278616</v>
      </c>
      <c r="AE174" s="188">
        <f t="shared" si="92"/>
        <v>0</v>
      </c>
      <c r="AF174" s="188">
        <f t="shared" si="93"/>
        <v>0.45416666666278616</v>
      </c>
      <c r="AG174" s="188">
        <f t="shared" si="94"/>
        <v>0</v>
      </c>
    </row>
    <row r="175" spans="2:33" ht="15" customHeight="1" x14ac:dyDescent="0.15">
      <c r="B175" s="174" t="s">
        <v>5</v>
      </c>
      <c r="C175" s="175" t="s">
        <v>15</v>
      </c>
      <c r="D175" s="176" t="str">
        <f t="shared" si="76"/>
        <v>C</v>
      </c>
      <c r="E175" s="177" t="d">
        <v>2021-03-08T17:29:59.99999979045242400</v>
      </c>
      <c r="F175" s="178" t="s">
        <v>82</v>
      </c>
      <c r="G175" s="179">
        <v>3871.35</v>
      </c>
      <c r="H175" s="179">
        <v>3835.94</v>
      </c>
      <c r="I175" s="180">
        <f t="shared" si="77"/>
        <v>35.409999999999854</v>
      </c>
      <c r="J175" s="179">
        <v>4101.5</v>
      </c>
      <c r="K175" s="177" t="d">
        <v>2021-03-08T22:03:59.99999994412064550</v>
      </c>
      <c r="L175" s="179">
        <v>3842.04</v>
      </c>
      <c r="M175" s="181">
        <f t="shared" si="78"/>
        <v>-29.31</v>
      </c>
      <c r="N175" s="182">
        <f t="shared" si="79"/>
        <v>-0.83</v>
      </c>
      <c r="O175" s="183">
        <f t="shared" si="80"/>
        <v>0</v>
      </c>
      <c r="P175" s="184">
        <f t="shared" si="81"/>
        <v>0</v>
      </c>
      <c r="Q175" s="184">
        <f t="shared" si="82"/>
        <v>-0.83</v>
      </c>
      <c r="R17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25602.5</v>
      </c>
      <c r="T17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25857.5</v>
      </c>
      <c r="U175" s="186">
        <f ca="1">IF(Tabla336106734812[[#This Row],[Equity]]&lt;Tabla336106734812[[#This Row],[Equity Peak]],(Tabla336106734812[[#This Row],[Equity Peak]]-Tabla336106734812[[#This Row],[Equity]])/Tabla336106734812[[#This Row],[Equity Peak]],"")</f>
        <v>9.8617422411292656E-3</v>
      </c>
      <c r="V175" s="187">
        <f t="shared" si="83"/>
        <v>0</v>
      </c>
      <c r="W175" s="187">
        <f t="shared" si="84"/>
        <v>0</v>
      </c>
      <c r="X175" s="187">
        <f t="shared" si="85"/>
        <v>0</v>
      </c>
      <c r="Y175" s="187">
        <f t="shared" si="86"/>
        <v>0</v>
      </c>
      <c r="Z175" s="187">
        <f t="shared" si="87"/>
        <v>-0.83</v>
      </c>
      <c r="AA175" s="183">
        <f t="shared" si="88"/>
        <v>0</v>
      </c>
      <c r="AB175" s="187">
        <f t="shared" si="89"/>
        <v>0</v>
      </c>
      <c r="AC175" s="183">
        <f t="shared" si="90"/>
        <v>0</v>
      </c>
      <c r="AD175" s="188">
        <f t="shared" si="91"/>
        <v>0.19027777777955635</v>
      </c>
      <c r="AE175" s="188">
        <f t="shared" si="92"/>
        <v>0</v>
      </c>
      <c r="AF175" s="188">
        <f t="shared" si="93"/>
        <v>0.19027777777955635</v>
      </c>
      <c r="AG175" s="188">
        <f t="shared" si="94"/>
        <v>0</v>
      </c>
    </row>
    <row r="176" spans="2:33" ht="15" customHeight="1" x14ac:dyDescent="0.15">
      <c r="B176" s="174" t="s">
        <v>5</v>
      </c>
      <c r="C176" s="175" t="s">
        <v>15</v>
      </c>
      <c r="D176" s="176" t="str">
        <f t="shared" si="76"/>
        <v>C</v>
      </c>
      <c r="E176" s="177" t="d">
        <v>2021-03-05T21:59:59.99999979045242400</v>
      </c>
      <c r="F176" s="178" t="s">
        <v>82</v>
      </c>
      <c r="G176" s="179">
        <v>3835.45</v>
      </c>
      <c r="H176" s="179">
        <v>3802.32</v>
      </c>
      <c r="I176" s="180">
        <f t="shared" si="77"/>
        <v>33.129999999999654</v>
      </c>
      <c r="J176" s="179">
        <v>4050.79</v>
      </c>
      <c r="K176" s="177" t="d">
        <v>2021-03-08T04:45:59.99999998603016475</v>
      </c>
      <c r="L176" s="179">
        <v>3829.3</v>
      </c>
      <c r="M176" s="181">
        <f t="shared" si="78"/>
        <v>-6.15</v>
      </c>
      <c r="N176" s="182">
        <f t="shared" si="79"/>
        <v>-0.19</v>
      </c>
      <c r="O176" s="183">
        <f t="shared" si="80"/>
        <v>0</v>
      </c>
      <c r="P176" s="184">
        <f t="shared" si="81"/>
        <v>0</v>
      </c>
      <c r="Q176" s="184">
        <f t="shared" si="82"/>
        <v>-0.19</v>
      </c>
      <c r="R17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25810</v>
      </c>
      <c r="T17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25857.5</v>
      </c>
      <c r="U176" s="186">
        <f ca="1">IF(Tabla336106734812[[#This Row],[Equity]]&lt;Tabla336106734812[[#This Row],[Equity Peak]],(Tabla336106734812[[#This Row],[Equity Peak]]-Tabla336106734812[[#This Row],[Equity]])/Tabla336106734812[[#This Row],[Equity Peak]],"")</f>
        <v>1.836991201778981E-3</v>
      </c>
      <c r="V176" s="187">
        <f t="shared" si="83"/>
        <v>0</v>
      </c>
      <c r="W176" s="187">
        <f t="shared" si="84"/>
        <v>0</v>
      </c>
      <c r="X176" s="187">
        <f t="shared" si="85"/>
        <v>0</v>
      </c>
      <c r="Y176" s="187">
        <f t="shared" si="86"/>
        <v>0</v>
      </c>
      <c r="Z176" s="187">
        <f t="shared" si="87"/>
        <v>-0.19</v>
      </c>
      <c r="AA176" s="183">
        <f t="shared" si="88"/>
        <v>0</v>
      </c>
      <c r="AB176" s="187">
        <f t="shared" si="89"/>
        <v>0</v>
      </c>
      <c r="AC176" s="183">
        <f t="shared" si="90"/>
        <v>0</v>
      </c>
      <c r="AD176" s="188">
        <f t="shared" si="91"/>
        <v>2.2819444444467081</v>
      </c>
      <c r="AE176" s="188">
        <f t="shared" si="92"/>
        <v>0</v>
      </c>
      <c r="AF176" s="188">
        <f t="shared" si="93"/>
        <v>2.2819444444467081</v>
      </c>
      <c r="AG176" s="188">
        <f t="shared" si="94"/>
        <v>0</v>
      </c>
    </row>
    <row r="177" spans="2:33" ht="15" customHeight="1" x14ac:dyDescent="0.15">
      <c r="B177" s="174" t="s">
        <v>5</v>
      </c>
      <c r="C177" s="175" t="s">
        <v>13</v>
      </c>
      <c r="D177" s="176" t="str">
        <f t="shared" ref="D177:D208" si="95">IF(E177&lt;&gt;"",IF(K177&lt;&gt;"","C","O"),"")</f>
        <v>C</v>
      </c>
      <c r="E177" s="177" t="d">
        <v>2021-03-03T15:45:00.000</v>
      </c>
      <c r="F177" s="178" t="s">
        <v>82</v>
      </c>
      <c r="G177" s="179">
        <v>3861.26</v>
      </c>
      <c r="H177" s="179">
        <v>3891.42</v>
      </c>
      <c r="I177" s="180">
        <f t="shared" ref="I177:I208" si="96">ABS(G177-H177)</f>
        <v>30.159999999999854</v>
      </c>
      <c r="J177" s="179">
        <v>3665.22</v>
      </c>
      <c r="K177" s="177" t="d">
        <v>2021-03-04T10:05:59.99999970663339225</v>
      </c>
      <c r="L177" s="179">
        <v>3816.3</v>
      </c>
      <c r="M177" s="181">
        <f t="shared" ref="M177:M208" si="97">ROUND(IF(C177="L",(L177-G177),(G177-L177)),4)</f>
        <v>44.96</v>
      </c>
      <c r="N177" s="182">
        <f t="shared" ref="N177:N208" si="98">IFERROR(ROUND((M177/I177),2),"")</f>
        <v>1.49</v>
      </c>
      <c r="O177" s="183">
        <f t="shared" ref="O177:O208" si="99">IF(D177="O",IF(N177&lt;0,N177,0),0)</f>
        <v>0</v>
      </c>
      <c r="P177" s="184">
        <f t="shared" ref="P177:P213" si="100">IF(N177&gt;= 0,N177,0)</f>
        <v>1.49</v>
      </c>
      <c r="Q177" s="184">
        <f t="shared" ref="Q177:Q213" si="101">IF(N177&lt;0,N177,0)</f>
        <v>0</v>
      </c>
      <c r="R17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25857.5</v>
      </c>
      <c r="T17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25857.5</v>
      </c>
      <c r="U177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77" s="187">
        <f t="shared" ref="V177:V213" si="102">IF(B177="FX",N177,0)</f>
        <v>0</v>
      </c>
      <c r="W177" s="187">
        <f t="shared" ref="W177:W208" si="103">IF(D177="O",IF(V177&lt;0,V177,0),0)</f>
        <v>0</v>
      </c>
      <c r="X177" s="187">
        <f t="shared" ref="X177:X213" si="104">IF(B177="COM",N177,0)</f>
        <v>0</v>
      </c>
      <c r="Y177" s="187">
        <f t="shared" ref="Y177:Y208" si="105">IF(D177="O",IF(X177&lt;0,X177,0),0)</f>
        <v>0</v>
      </c>
      <c r="Z177" s="187">
        <f t="shared" ref="Z177:Z213" si="106">IF(B177="IND",N177,0)</f>
        <v>1.49</v>
      </c>
      <c r="AA177" s="183">
        <f t="shared" ref="AA177:AA208" si="107">IF(D177="O",IF(Z177&lt;0,Z177,0),0)</f>
        <v>0</v>
      </c>
      <c r="AB177" s="187">
        <f t="shared" ref="AB177:AB213" si="108">IF(B177="CRYPTO",N177,0)</f>
        <v>0</v>
      </c>
      <c r="AC177" s="183">
        <f t="shared" ref="AC177:AC208" si="109">IF(D177="O",IF(AB177&lt;0,AB177,0),0)</f>
        <v>0</v>
      </c>
      <c r="AD177" s="188">
        <f t="shared" ref="AD177:AD213" si="110">IF(K177&lt;&gt;"",K177-E177,0)</f>
        <v>0.76458333332993789</v>
      </c>
      <c r="AE177" s="188">
        <f t="shared" ref="AE177:AE208" si="111">IF(N177&gt;0,AD177,0)</f>
        <v>0.76458333332993789</v>
      </c>
      <c r="AF177" s="188">
        <f t="shared" ref="AF177:AF213" si="112">IF(N177&lt;0,AD177,0)</f>
        <v>0</v>
      </c>
      <c r="AG177" s="188">
        <f t="shared" ref="AG177:AG213" si="113">IF(N177=0,AD177,0)</f>
        <v>0</v>
      </c>
    </row>
    <row r="178" spans="2:33" ht="15" customHeight="1" x14ac:dyDescent="0.15">
      <c r="B178" s="174" t="s">
        <v>5</v>
      </c>
      <c r="C178" s="175" t="s">
        <v>13</v>
      </c>
      <c r="D178" s="176" t="str">
        <f t="shared" si="95"/>
        <v>C</v>
      </c>
      <c r="E178" s="177" t="d">
        <v>2021-03-02T11:00:00.00000020954757600</v>
      </c>
      <c r="F178" s="178" t="s">
        <v>82</v>
      </c>
      <c r="G178" s="179">
        <v>3873.39</v>
      </c>
      <c r="H178" s="179">
        <v>3905.14</v>
      </c>
      <c r="I178" s="180">
        <f t="shared" si="96"/>
        <v>31.75</v>
      </c>
      <c r="J178" s="179">
        <v>3667.01</v>
      </c>
      <c r="K178" s="177" t="d">
        <v>2021-03-02T16:21:59.99999969266355025</v>
      </c>
      <c r="L178" s="179">
        <v>3903.82</v>
      </c>
      <c r="M178" s="181">
        <f t="shared" si="97"/>
        <v>-30.43</v>
      </c>
      <c r="N178" s="182">
        <f t="shared" si="98"/>
        <v>-0.96</v>
      </c>
      <c r="O178" s="183">
        <f t="shared" si="99"/>
        <v>0</v>
      </c>
      <c r="P178" s="184">
        <f t="shared" si="100"/>
        <v>0</v>
      </c>
      <c r="Q178" s="184">
        <f t="shared" si="101"/>
        <v>-0.96</v>
      </c>
      <c r="R17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25485</v>
      </c>
      <c r="T17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178" s="186">
        <f ca="1">IF(Tabla336106734812[[#This Row],[Equity]]&lt;Tabla336106734812[[#This Row],[Equity Peak]],(Tabla336106734812[[#This Row],[Equity Peak]]-Tabla336106734812[[#This Row],[Equity]])/Tabla336106734812[[#This Row],[Equity Peak]],"")</f>
        <v>1.1826289259402869E-2</v>
      </c>
      <c r="V178" s="187">
        <f t="shared" si="102"/>
        <v>0</v>
      </c>
      <c r="W178" s="187">
        <f t="shared" si="103"/>
        <v>0</v>
      </c>
      <c r="X178" s="187">
        <f t="shared" si="104"/>
        <v>0</v>
      </c>
      <c r="Y178" s="187">
        <f t="shared" si="105"/>
        <v>0</v>
      </c>
      <c r="Z178" s="187">
        <f t="shared" si="106"/>
        <v>-0.96</v>
      </c>
      <c r="AA178" s="183">
        <f t="shared" si="107"/>
        <v>0</v>
      </c>
      <c r="AB178" s="187">
        <f t="shared" si="108"/>
        <v>0</v>
      </c>
      <c r="AC178" s="183">
        <f t="shared" si="109"/>
        <v>0</v>
      </c>
      <c r="AD178" s="188">
        <f t="shared" si="110"/>
        <v>0.22361111110512866</v>
      </c>
      <c r="AE178" s="188">
        <f t="shared" si="111"/>
        <v>0</v>
      </c>
      <c r="AF178" s="188">
        <f t="shared" si="112"/>
        <v>0.22361111110512866</v>
      </c>
      <c r="AG178" s="188">
        <f t="shared" si="113"/>
        <v>0</v>
      </c>
    </row>
    <row r="179" spans="2:33" ht="15" customHeight="1" x14ac:dyDescent="0.15">
      <c r="B179" s="174" t="s">
        <v>5</v>
      </c>
      <c r="C179" s="175" t="s">
        <v>15</v>
      </c>
      <c r="D179" s="176" t="str">
        <f t="shared" si="95"/>
        <v>C</v>
      </c>
      <c r="E179" s="177" t="d">
        <v>2021-03-01T17:00:00.00000020954757600</v>
      </c>
      <c r="F179" s="178" t="s">
        <v>82</v>
      </c>
      <c r="G179" s="179">
        <v>3874.6</v>
      </c>
      <c r="H179" s="179">
        <v>3842.07</v>
      </c>
      <c r="I179" s="180">
        <f t="shared" si="96"/>
        <v>32.529999999999745</v>
      </c>
      <c r="J179" s="179">
        <v>4086.07</v>
      </c>
      <c r="K179" s="177" t="d">
        <v>2021-03-02T07:24:00.00000008381903175</v>
      </c>
      <c r="L179" s="179">
        <v>3879.93</v>
      </c>
      <c r="M179" s="181">
        <f t="shared" si="97"/>
        <v>5.33</v>
      </c>
      <c r="N179" s="182">
        <f t="shared" si="98"/>
        <v>0.16</v>
      </c>
      <c r="O179" s="183">
        <f t="shared" si="99"/>
        <v>0</v>
      </c>
      <c r="P179" s="184">
        <f t="shared" si="100"/>
        <v>0.16</v>
      </c>
      <c r="Q179" s="184">
        <f t="shared" si="101"/>
        <v>0</v>
      </c>
      <c r="R17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25725</v>
      </c>
      <c r="T17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179" s="186">
        <f ca="1">IF(Tabla336106734812[[#This Row],[Equity]]&lt;Tabla336106734812[[#This Row],[Equity Peak]],(Tabla336106734812[[#This Row],[Equity Peak]]-Tabla336106734812[[#This Row],[Equity]])/Tabla336106734812[[#This Row],[Equity Peak]],"")</f>
        <v>2.5203567274137261E-3</v>
      </c>
      <c r="V179" s="187">
        <f t="shared" si="102"/>
        <v>0</v>
      </c>
      <c r="W179" s="187">
        <f t="shared" si="103"/>
        <v>0</v>
      </c>
      <c r="X179" s="187">
        <f t="shared" si="104"/>
        <v>0</v>
      </c>
      <c r="Y179" s="187">
        <f t="shared" si="105"/>
        <v>0</v>
      </c>
      <c r="Z179" s="187">
        <f t="shared" si="106"/>
        <v>0.16</v>
      </c>
      <c r="AA179" s="183">
        <f t="shared" si="107"/>
        <v>0</v>
      </c>
      <c r="AB179" s="187">
        <f t="shared" si="108"/>
        <v>0</v>
      </c>
      <c r="AC179" s="183">
        <f t="shared" si="109"/>
        <v>0</v>
      </c>
      <c r="AD179" s="188">
        <f t="shared" si="110"/>
        <v>0.59999999999854481</v>
      </c>
      <c r="AE179" s="188">
        <f t="shared" si="111"/>
        <v>0.59999999999854481</v>
      </c>
      <c r="AF179" s="188">
        <f t="shared" si="112"/>
        <v>0</v>
      </c>
      <c r="AG179" s="188">
        <f t="shared" si="113"/>
        <v>0</v>
      </c>
    </row>
    <row r="180" spans="2:33" ht="15" customHeight="1" x14ac:dyDescent="0.15">
      <c r="B180" s="174" t="s">
        <v>5</v>
      </c>
      <c r="C180" s="175" t="s">
        <v>13</v>
      </c>
      <c r="D180" s="176" t="str">
        <f t="shared" si="95"/>
        <v>C</v>
      </c>
      <c r="E180" s="177" t="d">
        <v>2021-02-25T17:15:00.000</v>
      </c>
      <c r="F180" s="178" t="s">
        <v>82</v>
      </c>
      <c r="G180" s="179">
        <v>3899.5</v>
      </c>
      <c r="H180" s="179">
        <v>3923.26</v>
      </c>
      <c r="I180" s="180">
        <f t="shared" si="96"/>
        <v>23.760000000000218</v>
      </c>
      <c r="J180" s="179">
        <v>3745.04</v>
      </c>
      <c r="K180" s="177" t="d">
        <v>2021-02-25T21:08:59.99999987427145575</v>
      </c>
      <c r="L180" s="179">
        <v>3859.2</v>
      </c>
      <c r="M180" s="181">
        <f t="shared" si="97"/>
        <v>40.299999999999997</v>
      </c>
      <c r="N180" s="182">
        <f t="shared" si="98"/>
        <v>1.7</v>
      </c>
      <c r="O180" s="183">
        <f t="shared" si="99"/>
        <v>0</v>
      </c>
      <c r="P180" s="184">
        <f t="shared" si="100"/>
        <v>1.7</v>
      </c>
      <c r="Q180" s="184">
        <f t="shared" si="101"/>
        <v>0</v>
      </c>
      <c r="R18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25685</v>
      </c>
      <c r="T18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180" s="186">
        <f ca="1">IF(Tabla336106734812[[#This Row],[Equity]]&lt;Tabla336106734812[[#This Row],[Equity Peak]],(Tabla336106734812[[#This Row],[Equity Peak]]-Tabla336106734812[[#This Row],[Equity]])/Tabla336106734812[[#This Row],[Equity Peak]],"")</f>
        <v>4.0713454827452497E-3</v>
      </c>
      <c r="V180" s="187">
        <f t="shared" si="102"/>
        <v>0</v>
      </c>
      <c r="W180" s="187">
        <f t="shared" si="103"/>
        <v>0</v>
      </c>
      <c r="X180" s="187">
        <f t="shared" si="104"/>
        <v>0</v>
      </c>
      <c r="Y180" s="187">
        <f t="shared" si="105"/>
        <v>0</v>
      </c>
      <c r="Z180" s="187">
        <f t="shared" si="106"/>
        <v>1.7</v>
      </c>
      <c r="AA180" s="183">
        <f t="shared" si="107"/>
        <v>0</v>
      </c>
      <c r="AB180" s="187">
        <f t="shared" si="108"/>
        <v>0</v>
      </c>
      <c r="AC180" s="183">
        <f t="shared" si="109"/>
        <v>0</v>
      </c>
      <c r="AD180" s="188">
        <f t="shared" si="110"/>
        <v>0.16249999999854481</v>
      </c>
      <c r="AE180" s="188">
        <f t="shared" si="111"/>
        <v>0.16249999999854481</v>
      </c>
      <c r="AF180" s="188">
        <f t="shared" si="112"/>
        <v>0</v>
      </c>
      <c r="AG180" s="188">
        <f t="shared" si="113"/>
        <v>0</v>
      </c>
    </row>
    <row r="181" spans="2:33" ht="15" customHeight="1" x14ac:dyDescent="0.15">
      <c r="B181" s="174" t="s">
        <v>5</v>
      </c>
      <c r="C181" s="175" t="s">
        <v>15</v>
      </c>
      <c r="D181" s="176" t="str">
        <f t="shared" si="95"/>
        <v>C</v>
      </c>
      <c r="E181" s="177" t="d">
        <v>2021-02-24T18:30:00.00000020954757600</v>
      </c>
      <c r="F181" s="178" t="s">
        <v>82</v>
      </c>
      <c r="G181" s="179">
        <v>3900.7</v>
      </c>
      <c r="H181" s="179">
        <v>3877.08</v>
      </c>
      <c r="I181" s="180">
        <f t="shared" si="96"/>
        <v>23.619999999999891</v>
      </c>
      <c r="J181" s="179">
        <v>4054.23</v>
      </c>
      <c r="K181" s="177" t="d">
        <v>2021-02-25T13:37:00.00000011175870900</v>
      </c>
      <c r="L181" s="179">
        <v>3912.45</v>
      </c>
      <c r="M181" s="181">
        <f t="shared" si="97"/>
        <v>11.75</v>
      </c>
      <c r="N181" s="182">
        <f t="shared" si="98"/>
        <v>0.5</v>
      </c>
      <c r="O181" s="183">
        <f t="shared" si="99"/>
        <v>0</v>
      </c>
      <c r="P181" s="184">
        <f t="shared" si="100"/>
        <v>0.5</v>
      </c>
      <c r="Q181" s="184">
        <f t="shared" si="101"/>
        <v>0</v>
      </c>
      <c r="R18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25260</v>
      </c>
      <c r="T18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181" s="186">
        <f ca="1">IF(Tabla336106734812[[#This Row],[Equity]]&lt;Tabla336106734812[[#This Row],[Equity Peak]],(Tabla336106734812[[#This Row],[Equity Peak]]-Tabla336106734812[[#This Row],[Equity]])/Tabla336106734812[[#This Row],[Equity Peak]],"")</f>
        <v>2.055060100814269E-2</v>
      </c>
      <c r="V181" s="187">
        <f t="shared" si="102"/>
        <v>0</v>
      </c>
      <c r="W181" s="187">
        <f t="shared" si="103"/>
        <v>0</v>
      </c>
      <c r="X181" s="187">
        <f t="shared" si="104"/>
        <v>0</v>
      </c>
      <c r="Y181" s="187">
        <f t="shared" si="105"/>
        <v>0</v>
      </c>
      <c r="Z181" s="187">
        <f t="shared" si="106"/>
        <v>0.5</v>
      </c>
      <c r="AA181" s="183">
        <f t="shared" si="107"/>
        <v>0</v>
      </c>
      <c r="AB181" s="187">
        <f t="shared" si="108"/>
        <v>0</v>
      </c>
      <c r="AC181" s="183">
        <f t="shared" si="109"/>
        <v>0</v>
      </c>
      <c r="AD181" s="188">
        <f t="shared" si="110"/>
        <v>0.79652777777664596</v>
      </c>
      <c r="AE181" s="188">
        <f t="shared" si="111"/>
        <v>0.79652777777664596</v>
      </c>
      <c r="AF181" s="188">
        <f t="shared" si="112"/>
        <v>0</v>
      </c>
      <c r="AG181" s="188">
        <f t="shared" si="113"/>
        <v>0</v>
      </c>
    </row>
    <row r="182" spans="2:33" ht="15" customHeight="1" x14ac:dyDescent="0.15">
      <c r="B182" s="174" t="s">
        <v>5</v>
      </c>
      <c r="C182" s="175" t="s">
        <v>15</v>
      </c>
      <c r="D182" s="176" t="str">
        <f t="shared" si="95"/>
        <v>C</v>
      </c>
      <c r="E182" s="177" t="d">
        <v>2021-02-24T14:29:59.99999979045242400</v>
      </c>
      <c r="F182" s="178" t="s">
        <v>82</v>
      </c>
      <c r="G182" s="179">
        <v>3896.03</v>
      </c>
      <c r="H182" s="179">
        <v>3873.47</v>
      </c>
      <c r="I182" s="180">
        <f t="shared" si="96"/>
        <v>22.5600000000004</v>
      </c>
      <c r="J182" s="179">
        <v>4042.68</v>
      </c>
      <c r="K182" s="177" t="d">
        <v>2021-02-24T15:52:00.00000011175870900</v>
      </c>
      <c r="L182" s="179">
        <v>3873.66</v>
      </c>
      <c r="M182" s="181">
        <f t="shared" si="97"/>
        <v>-22.37</v>
      </c>
      <c r="N182" s="182">
        <f t="shared" si="98"/>
        <v>-0.99</v>
      </c>
      <c r="O182" s="183">
        <f t="shared" si="99"/>
        <v>0</v>
      </c>
      <c r="P182" s="184">
        <f t="shared" si="100"/>
        <v>0</v>
      </c>
      <c r="Q182" s="184">
        <f t="shared" si="101"/>
        <v>-0.99</v>
      </c>
      <c r="R18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25135</v>
      </c>
      <c r="T18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182" s="186">
        <f ca="1">IF(Tabla336106734812[[#This Row],[Equity]]&lt;Tabla336106734812[[#This Row],[Equity Peak]],(Tabla336106734812[[#This Row],[Equity Peak]]-Tabla336106734812[[#This Row],[Equity]])/Tabla336106734812[[#This Row],[Equity Peak]],"")</f>
        <v>2.5397440868553701E-2</v>
      </c>
      <c r="V182" s="187">
        <f t="shared" si="102"/>
        <v>0</v>
      </c>
      <c r="W182" s="187">
        <f t="shared" si="103"/>
        <v>0</v>
      </c>
      <c r="X182" s="187">
        <f t="shared" si="104"/>
        <v>0</v>
      </c>
      <c r="Y182" s="187">
        <f t="shared" si="105"/>
        <v>0</v>
      </c>
      <c r="Z182" s="187">
        <f t="shared" si="106"/>
        <v>-0.99</v>
      </c>
      <c r="AA182" s="183">
        <f t="shared" si="107"/>
        <v>0</v>
      </c>
      <c r="AB182" s="187">
        <f t="shared" si="108"/>
        <v>0</v>
      </c>
      <c r="AC182" s="183">
        <f t="shared" si="109"/>
        <v>0</v>
      </c>
      <c r="AD182" s="188">
        <f t="shared" si="110"/>
        <v>5.6944444448163267E-2</v>
      </c>
      <c r="AE182" s="188">
        <f t="shared" si="111"/>
        <v>0</v>
      </c>
      <c r="AF182" s="188">
        <f t="shared" si="112"/>
        <v>5.6944444448163267E-2</v>
      </c>
      <c r="AG182" s="188">
        <f t="shared" si="113"/>
        <v>0</v>
      </c>
    </row>
    <row r="183" spans="2:33" ht="15" customHeight="1" x14ac:dyDescent="0.15">
      <c r="B183" s="174" t="s">
        <v>5</v>
      </c>
      <c r="C183" s="175" t="s">
        <v>13</v>
      </c>
      <c r="D183" s="176" t="str">
        <f t="shared" si="95"/>
        <v>C</v>
      </c>
      <c r="E183" s="177" t="d">
        <v>2021-02-23T11:15:00.000</v>
      </c>
      <c r="F183" s="178" t="s">
        <v>82</v>
      </c>
      <c r="G183" s="179">
        <v>3868.24</v>
      </c>
      <c r="H183" s="179">
        <v>3887.06</v>
      </c>
      <c r="I183" s="180">
        <f t="shared" si="96"/>
        <v>18.820000000000164</v>
      </c>
      <c r="J183" s="179">
        <v>3745.91</v>
      </c>
      <c r="K183" s="177" t="d">
        <v>2021-02-23T17:26:59.99999983236193650</v>
      </c>
      <c r="L183" s="179">
        <v>3846.96</v>
      </c>
      <c r="M183" s="181">
        <f t="shared" si="97"/>
        <v>21.28</v>
      </c>
      <c r="N183" s="182">
        <f t="shared" si="98"/>
        <v>1.1299999999999999</v>
      </c>
      <c r="O183" s="183">
        <f t="shared" si="99"/>
        <v>0</v>
      </c>
      <c r="P183" s="184">
        <f t="shared" si="100"/>
        <v>1.1299999999999999</v>
      </c>
      <c r="Q183" s="184">
        <f t="shared" si="101"/>
        <v>0</v>
      </c>
      <c r="R18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25382.5</v>
      </c>
      <c r="T18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183" s="186">
        <f ca="1">IF(Tabla336106734812[[#This Row],[Equity]]&lt;Tabla336106734812[[#This Row],[Equity Peak]],(Tabla336106734812[[#This Row],[Equity Peak]]-Tabla336106734812[[#This Row],[Equity]])/Tabla336106734812[[#This Row],[Equity Peak]],"")</f>
        <v>1.58006979449399E-2</v>
      </c>
      <c r="V183" s="187">
        <f t="shared" si="102"/>
        <v>0</v>
      </c>
      <c r="W183" s="187">
        <f t="shared" si="103"/>
        <v>0</v>
      </c>
      <c r="X183" s="187">
        <f t="shared" si="104"/>
        <v>0</v>
      </c>
      <c r="Y183" s="187">
        <f t="shared" si="105"/>
        <v>0</v>
      </c>
      <c r="Z183" s="187">
        <f t="shared" si="106"/>
        <v>1.1299999999999999</v>
      </c>
      <c r="AA183" s="183">
        <f t="shared" si="107"/>
        <v>0</v>
      </c>
      <c r="AB183" s="187">
        <f t="shared" si="108"/>
        <v>0</v>
      </c>
      <c r="AC183" s="183">
        <f t="shared" si="109"/>
        <v>0</v>
      </c>
      <c r="AD183" s="188">
        <f t="shared" si="110"/>
        <v>0.25833333333139308</v>
      </c>
      <c r="AE183" s="188">
        <f t="shared" si="111"/>
        <v>0.25833333333139308</v>
      </c>
      <c r="AF183" s="188">
        <f t="shared" si="112"/>
        <v>0</v>
      </c>
      <c r="AG183" s="188">
        <f t="shared" si="113"/>
        <v>0</v>
      </c>
    </row>
    <row r="184" spans="2:33" ht="15" customHeight="1" x14ac:dyDescent="0.15">
      <c r="B184" s="174" t="s">
        <v>5</v>
      </c>
      <c r="C184" s="175" t="s">
        <v>13</v>
      </c>
      <c r="D184" s="176" t="str">
        <f t="shared" si="95"/>
        <v>C</v>
      </c>
      <c r="E184" s="177" t="d">
        <v>2021-02-22T05:00:00.00000020954757600</v>
      </c>
      <c r="F184" s="178" t="s">
        <v>82</v>
      </c>
      <c r="G184" s="179">
        <v>3896.46</v>
      </c>
      <c r="H184" s="179">
        <v>3913.02</v>
      </c>
      <c r="I184" s="180">
        <f t="shared" si="96"/>
        <v>16.559999999999945</v>
      </c>
      <c r="J184" s="179">
        <v>3788.79</v>
      </c>
      <c r="K184" s="177" t="d">
        <v>2021-02-22T16:38:59.99999987427145575</v>
      </c>
      <c r="L184" s="179">
        <v>3885.82</v>
      </c>
      <c r="M184" s="181">
        <f t="shared" si="97"/>
        <v>10.64</v>
      </c>
      <c r="N184" s="182">
        <f t="shared" si="98"/>
        <v>0.64</v>
      </c>
      <c r="O184" s="183">
        <f t="shared" si="99"/>
        <v>0</v>
      </c>
      <c r="P184" s="184">
        <f t="shared" si="100"/>
        <v>0.64</v>
      </c>
      <c r="Q184" s="184">
        <f t="shared" si="101"/>
        <v>0</v>
      </c>
      <c r="R18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25100</v>
      </c>
      <c r="T18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184" s="186">
        <f ca="1">IF(Tabla336106734812[[#This Row],[Equity]]&lt;Tabla336106734812[[#This Row],[Equity Peak]],(Tabla336106734812[[#This Row],[Equity Peak]]-Tabla336106734812[[#This Row],[Equity]])/Tabla336106734812[[#This Row],[Equity Peak]],"")</f>
        <v>2.6754556029468787E-2</v>
      </c>
      <c r="V184" s="187">
        <f t="shared" si="102"/>
        <v>0</v>
      </c>
      <c r="W184" s="187">
        <f t="shared" si="103"/>
        <v>0</v>
      </c>
      <c r="X184" s="187">
        <f t="shared" si="104"/>
        <v>0</v>
      </c>
      <c r="Y184" s="187">
        <f t="shared" si="105"/>
        <v>0</v>
      </c>
      <c r="Z184" s="187">
        <f t="shared" si="106"/>
        <v>0.64</v>
      </c>
      <c r="AA184" s="183">
        <f t="shared" si="107"/>
        <v>0</v>
      </c>
      <c r="AB184" s="187">
        <f t="shared" si="108"/>
        <v>0</v>
      </c>
      <c r="AC184" s="183">
        <f t="shared" si="109"/>
        <v>0</v>
      </c>
      <c r="AD184" s="188">
        <f t="shared" si="110"/>
        <v>0.48541666666278616</v>
      </c>
      <c r="AE184" s="188">
        <f t="shared" si="111"/>
        <v>0.48541666666278616</v>
      </c>
      <c r="AF184" s="188">
        <f t="shared" si="112"/>
        <v>0</v>
      </c>
      <c r="AG184" s="188">
        <f t="shared" si="113"/>
        <v>0</v>
      </c>
    </row>
    <row r="185" spans="2:33" ht="15" customHeight="1" x14ac:dyDescent="0.15">
      <c r="B185" s="174" t="s">
        <v>5</v>
      </c>
      <c r="C185" s="175" t="s">
        <v>13</v>
      </c>
      <c r="D185" s="176" t="str">
        <f t="shared" si="95"/>
        <v>C</v>
      </c>
      <c r="E185" s="177" t="d">
        <v>2021-02-19T23:15:00.000</v>
      </c>
      <c r="F185" s="178" t="s">
        <v>82</v>
      </c>
      <c r="G185" s="179">
        <v>3901.41</v>
      </c>
      <c r="H185" s="179">
        <v>3917.34</v>
      </c>
      <c r="I185" s="180">
        <f t="shared" si="96"/>
        <v>15.930000000000291</v>
      </c>
      <c r="J185" s="179">
        <v>3797.87</v>
      </c>
      <c r="K185" s="177" t="d">
        <v>2021-02-22T03:05:59.99999991618096825</v>
      </c>
      <c r="L185" s="179">
        <v>3914.08</v>
      </c>
      <c r="M185" s="181">
        <f t="shared" si="97"/>
        <v>-12.67</v>
      </c>
      <c r="N185" s="182">
        <f t="shared" si="98"/>
        <v>-0.8</v>
      </c>
      <c r="O185" s="183">
        <f t="shared" si="99"/>
        <v>0</v>
      </c>
      <c r="P185" s="184">
        <f t="shared" si="100"/>
        <v>0</v>
      </c>
      <c r="Q185" s="184">
        <f t="shared" si="101"/>
        <v>-0.8</v>
      </c>
      <c r="R18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24940</v>
      </c>
      <c r="T18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185" s="186">
        <f ca="1">IF(Tabla336106734812[[#This Row],[Equity]]&lt;Tabla336106734812[[#This Row],[Equity Peak]],(Tabla336106734812[[#This Row],[Equity Peak]]-Tabla336106734812[[#This Row],[Equity]])/Tabla336106734812[[#This Row],[Equity Peak]],"")</f>
        <v>3.2958511050794885E-2</v>
      </c>
      <c r="V185" s="187">
        <f t="shared" si="102"/>
        <v>0</v>
      </c>
      <c r="W185" s="187">
        <f t="shared" si="103"/>
        <v>0</v>
      </c>
      <c r="X185" s="187">
        <f t="shared" si="104"/>
        <v>0</v>
      </c>
      <c r="Y185" s="187">
        <f t="shared" si="105"/>
        <v>0</v>
      </c>
      <c r="Z185" s="187">
        <f t="shared" si="106"/>
        <v>-0.8</v>
      </c>
      <c r="AA185" s="183">
        <f t="shared" si="107"/>
        <v>0</v>
      </c>
      <c r="AB185" s="187">
        <f t="shared" si="108"/>
        <v>0</v>
      </c>
      <c r="AC185" s="183">
        <f t="shared" si="109"/>
        <v>0</v>
      </c>
      <c r="AD185" s="188">
        <f t="shared" si="110"/>
        <v>2.1604166666656965</v>
      </c>
      <c r="AE185" s="188">
        <f t="shared" si="111"/>
        <v>0</v>
      </c>
      <c r="AF185" s="188">
        <f t="shared" si="112"/>
        <v>2.1604166666656965</v>
      </c>
      <c r="AG185" s="188">
        <f t="shared" si="113"/>
        <v>0</v>
      </c>
    </row>
    <row r="186" spans="2:33" ht="15" customHeight="1" x14ac:dyDescent="0.15">
      <c r="B186" s="174" t="s">
        <v>5</v>
      </c>
      <c r="C186" s="175" t="s">
        <v>15</v>
      </c>
      <c r="D186" s="176" t="str">
        <f t="shared" si="95"/>
        <v>C</v>
      </c>
      <c r="E186" s="177" t="d">
        <v>2021-02-19T11:45:00.00000020954757600</v>
      </c>
      <c r="F186" s="178" t="s">
        <v>82</v>
      </c>
      <c r="G186" s="179">
        <v>3926.74</v>
      </c>
      <c r="H186" s="179">
        <v>3912.16</v>
      </c>
      <c r="I186" s="180">
        <f t="shared" si="96"/>
        <v>14.579999999999927</v>
      </c>
      <c r="J186" s="179">
        <v>4021.48</v>
      </c>
      <c r="K186" s="177" t="d">
        <v>2021-02-19T16:47:59.99999974854290475</v>
      </c>
      <c r="L186" s="179">
        <v>3918.11</v>
      </c>
      <c r="M186" s="181">
        <f t="shared" si="97"/>
        <v>-8.6300000000000008</v>
      </c>
      <c r="N186" s="182">
        <f t="shared" si="98"/>
        <v>-0.59</v>
      </c>
      <c r="O186" s="183">
        <f t="shared" si="99"/>
        <v>0</v>
      </c>
      <c r="P186" s="184">
        <f t="shared" si="100"/>
        <v>0</v>
      </c>
      <c r="Q186" s="184">
        <f t="shared" si="101"/>
        <v>-0.59</v>
      </c>
      <c r="R18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25140</v>
      </c>
      <c r="T18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186" s="186">
        <f ca="1">IF(Tabla336106734812[[#This Row],[Equity]]&lt;Tabla336106734812[[#This Row],[Equity Peak]],(Tabla336106734812[[#This Row],[Equity Peak]]-Tabla336106734812[[#This Row],[Equity]])/Tabla336106734812[[#This Row],[Equity Peak]],"")</f>
        <v>2.5203567274137261E-2</v>
      </c>
      <c r="V186" s="187">
        <f t="shared" si="102"/>
        <v>0</v>
      </c>
      <c r="W186" s="187">
        <f t="shared" si="103"/>
        <v>0</v>
      </c>
      <c r="X186" s="187">
        <f t="shared" si="104"/>
        <v>0</v>
      </c>
      <c r="Y186" s="187">
        <f t="shared" si="105"/>
        <v>0</v>
      </c>
      <c r="Z186" s="187">
        <f t="shared" si="106"/>
        <v>-0.59</v>
      </c>
      <c r="AA186" s="183">
        <f t="shared" si="107"/>
        <v>0</v>
      </c>
      <c r="AB186" s="187">
        <f t="shared" si="108"/>
        <v>0</v>
      </c>
      <c r="AC186" s="183">
        <f t="shared" si="109"/>
        <v>0</v>
      </c>
      <c r="AD186" s="188">
        <f t="shared" si="110"/>
        <v>0.21041666666133096</v>
      </c>
      <c r="AE186" s="188">
        <f t="shared" si="111"/>
        <v>0</v>
      </c>
      <c r="AF186" s="188">
        <f t="shared" si="112"/>
        <v>0.21041666666133096</v>
      </c>
      <c r="AG186" s="188">
        <f t="shared" si="113"/>
        <v>0</v>
      </c>
    </row>
    <row r="187" spans="2:33" ht="15" customHeight="1" x14ac:dyDescent="0.15">
      <c r="B187" s="174" t="s">
        <v>5</v>
      </c>
      <c r="C187" s="175" t="s">
        <v>13</v>
      </c>
      <c r="D187" s="176" t="str">
        <f t="shared" si="95"/>
        <v>C</v>
      </c>
      <c r="E187" s="177" t="d">
        <v>2021-02-18T15:45:00.000</v>
      </c>
      <c r="F187" s="178" t="s">
        <v>82</v>
      </c>
      <c r="G187" s="179">
        <v>3907.08</v>
      </c>
      <c r="H187" s="179">
        <v>3920.3</v>
      </c>
      <c r="I187" s="180">
        <f t="shared" si="96"/>
        <v>13.220000000000255</v>
      </c>
      <c r="J187" s="179">
        <v>3821.13</v>
      </c>
      <c r="K187" s="177" t="d">
        <v>2021-02-18T18:15:59.99999998603016475</v>
      </c>
      <c r="L187" s="179">
        <v>3905.43</v>
      </c>
      <c r="M187" s="181">
        <f t="shared" si="97"/>
        <v>1.65</v>
      </c>
      <c r="N187" s="182">
        <f t="shared" si="98"/>
        <v>0.12</v>
      </c>
      <c r="O187" s="183">
        <f t="shared" si="99"/>
        <v>0</v>
      </c>
      <c r="P187" s="184">
        <f t="shared" si="100"/>
        <v>0.12</v>
      </c>
      <c r="Q187" s="184">
        <f t="shared" si="101"/>
        <v>0</v>
      </c>
      <c r="R18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25287.5</v>
      </c>
      <c r="T18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187" s="186">
        <f ca="1">IF(Tabla336106734812[[#This Row],[Equity]]&lt;Tabla336106734812[[#This Row],[Equity Peak]],(Tabla336106734812[[#This Row],[Equity Peak]]-Tabla336106734812[[#This Row],[Equity]])/Tabla336106734812[[#This Row],[Equity Peak]],"")</f>
        <v>1.9484296238852269E-2</v>
      </c>
      <c r="V187" s="187">
        <f t="shared" si="102"/>
        <v>0</v>
      </c>
      <c r="W187" s="187">
        <f t="shared" si="103"/>
        <v>0</v>
      </c>
      <c r="X187" s="187">
        <f t="shared" si="104"/>
        <v>0</v>
      </c>
      <c r="Y187" s="187">
        <f t="shared" si="105"/>
        <v>0</v>
      </c>
      <c r="Z187" s="187">
        <f t="shared" si="106"/>
        <v>0.12</v>
      </c>
      <c r="AA187" s="183">
        <f t="shared" si="107"/>
        <v>0</v>
      </c>
      <c r="AB187" s="187">
        <f t="shared" si="108"/>
        <v>0</v>
      </c>
      <c r="AC187" s="183">
        <f t="shared" si="109"/>
        <v>0</v>
      </c>
      <c r="AD187" s="188">
        <f t="shared" si="110"/>
        <v>0.10486111111094942</v>
      </c>
      <c r="AE187" s="188">
        <f t="shared" si="111"/>
        <v>0.10486111111094942</v>
      </c>
      <c r="AF187" s="188">
        <f t="shared" si="112"/>
        <v>0</v>
      </c>
      <c r="AG187" s="188">
        <f t="shared" si="113"/>
        <v>0</v>
      </c>
    </row>
    <row r="188" spans="2:33" ht="15" customHeight="1" x14ac:dyDescent="0.15">
      <c r="B188" s="174" t="s">
        <v>5</v>
      </c>
      <c r="C188" s="175" t="s">
        <v>15</v>
      </c>
      <c r="D188" s="176" t="str">
        <f t="shared" si="95"/>
        <v>C</v>
      </c>
      <c r="E188" s="177" t="d">
        <v>2021-02-18T02:15:00.000</v>
      </c>
      <c r="F188" s="178" t="s">
        <v>82</v>
      </c>
      <c r="G188" s="179">
        <v>3938.49</v>
      </c>
      <c r="H188" s="179">
        <v>3925.06</v>
      </c>
      <c r="I188" s="180">
        <f t="shared" si="96"/>
        <v>13.429999999999836</v>
      </c>
      <c r="J188" s="179">
        <v>4025.75</v>
      </c>
      <c r="K188" s="177" t="d">
        <v>2021-02-18T05:36:59.99999990221113300</v>
      </c>
      <c r="L188" s="179">
        <v>3925.06</v>
      </c>
      <c r="M188" s="181">
        <f t="shared" si="97"/>
        <v>-13.43</v>
      </c>
      <c r="N188" s="182">
        <f t="shared" si="98"/>
        <v>-1</v>
      </c>
      <c r="O188" s="183">
        <f t="shared" si="99"/>
        <v>0</v>
      </c>
      <c r="P188" s="184">
        <f t="shared" si="100"/>
        <v>0</v>
      </c>
      <c r="Q188" s="184">
        <f t="shared" si="101"/>
        <v>-1</v>
      </c>
      <c r="R18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25257.5</v>
      </c>
      <c r="T18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188" s="186">
        <f ca="1">IF(Tabla336106734812[[#This Row],[Equity]]&lt;Tabla336106734812[[#This Row],[Equity Peak]],(Tabla336106734812[[#This Row],[Equity Peak]]-Tabla336106734812[[#This Row],[Equity]])/Tabla336106734812[[#This Row],[Equity Peak]],"")</f>
        <v>2.0647537805350911E-2</v>
      </c>
      <c r="V188" s="187">
        <f t="shared" si="102"/>
        <v>0</v>
      </c>
      <c r="W188" s="187">
        <f t="shared" si="103"/>
        <v>0</v>
      </c>
      <c r="X188" s="187">
        <f t="shared" si="104"/>
        <v>0</v>
      </c>
      <c r="Y188" s="187">
        <f t="shared" si="105"/>
        <v>0</v>
      </c>
      <c r="Z188" s="187">
        <f t="shared" si="106"/>
        <v>-1</v>
      </c>
      <c r="AA188" s="183">
        <f t="shared" si="107"/>
        <v>0</v>
      </c>
      <c r="AB188" s="187">
        <f t="shared" si="108"/>
        <v>0</v>
      </c>
      <c r="AC188" s="183">
        <f t="shared" si="109"/>
        <v>0</v>
      </c>
      <c r="AD188" s="188">
        <f t="shared" si="110"/>
        <v>0.14027777777664596</v>
      </c>
      <c r="AE188" s="188">
        <f t="shared" si="111"/>
        <v>0</v>
      </c>
      <c r="AF188" s="188">
        <f t="shared" si="112"/>
        <v>0.14027777777664596</v>
      </c>
      <c r="AG188" s="188">
        <f t="shared" si="113"/>
        <v>0</v>
      </c>
    </row>
    <row r="189" spans="2:33" ht="15" customHeight="1" x14ac:dyDescent="0.15">
      <c r="B189" s="174" t="s">
        <v>5</v>
      </c>
      <c r="C189" s="175" t="s">
        <v>13</v>
      </c>
      <c r="D189" s="176" t="str">
        <f t="shared" si="95"/>
        <v>C</v>
      </c>
      <c r="E189" s="177" t="d">
        <v>2021-02-17T16:15:00.00000020954757600</v>
      </c>
      <c r="F189" s="178" t="s">
        <v>82</v>
      </c>
      <c r="G189" s="179">
        <v>3911.15</v>
      </c>
      <c r="H189" s="179">
        <v>3923.55</v>
      </c>
      <c r="I189" s="180">
        <f t="shared" si="96"/>
        <v>12.400000000000091</v>
      </c>
      <c r="J189" s="179">
        <v>3830.55</v>
      </c>
      <c r="K189" s="177" t="d">
        <v>2021-02-17T16:54:00.00000029336660775</v>
      </c>
      <c r="L189" s="179">
        <v>3923.55</v>
      </c>
      <c r="M189" s="181">
        <f t="shared" si="97"/>
        <v>-12.4</v>
      </c>
      <c r="N189" s="182">
        <f t="shared" si="98"/>
        <v>-1</v>
      </c>
      <c r="O189" s="183">
        <f t="shared" si="99"/>
        <v>0</v>
      </c>
      <c r="P189" s="184">
        <f t="shared" si="100"/>
        <v>0</v>
      </c>
      <c r="Q189" s="184">
        <f t="shared" si="101"/>
        <v>-1</v>
      </c>
      <c r="R18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25507.5</v>
      </c>
      <c r="T18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189" s="186">
        <f ca="1">IF(Tabla336106734812[[#This Row],[Equity]]&lt;Tabla336106734812[[#This Row],[Equity Peak]],(Tabla336106734812[[#This Row],[Equity Peak]]-Tabla336106734812[[#This Row],[Equity]])/Tabla336106734812[[#This Row],[Equity Peak]],"")</f>
        <v>1.0953858084528888E-2</v>
      </c>
      <c r="V189" s="187">
        <f t="shared" si="102"/>
        <v>0</v>
      </c>
      <c r="W189" s="187">
        <f t="shared" si="103"/>
        <v>0</v>
      </c>
      <c r="X189" s="187">
        <f t="shared" si="104"/>
        <v>0</v>
      </c>
      <c r="Y189" s="187">
        <f t="shared" si="105"/>
        <v>0</v>
      </c>
      <c r="Z189" s="187">
        <f t="shared" si="106"/>
        <v>-1</v>
      </c>
      <c r="AA189" s="183">
        <f t="shared" si="107"/>
        <v>0</v>
      </c>
      <c r="AB189" s="187">
        <f t="shared" si="108"/>
        <v>0</v>
      </c>
      <c r="AC189" s="183">
        <f t="shared" si="109"/>
        <v>0</v>
      </c>
      <c r="AD189" s="188">
        <f t="shared" si="110"/>
        <v>2.7083333334303461E-2</v>
      </c>
      <c r="AE189" s="188">
        <f t="shared" si="111"/>
        <v>0</v>
      </c>
      <c r="AF189" s="188">
        <f t="shared" si="112"/>
        <v>2.7083333334303461E-2</v>
      </c>
      <c r="AG189" s="188">
        <f t="shared" si="113"/>
        <v>0</v>
      </c>
    </row>
    <row r="190" spans="2:33" ht="15" customHeight="1" x14ac:dyDescent="0.15">
      <c r="B190" s="174" t="s">
        <v>5</v>
      </c>
      <c r="C190" s="175" t="s">
        <v>15</v>
      </c>
      <c r="D190" s="176" t="str">
        <f t="shared" si="95"/>
        <v>C</v>
      </c>
      <c r="E190" s="177" t="d">
        <v>2021-02-12T17:45:00.00000020954757600</v>
      </c>
      <c r="F190" s="178" t="s">
        <v>82</v>
      </c>
      <c r="G190" s="179">
        <v>3924.21</v>
      </c>
      <c r="H190" s="179">
        <v>3911.14</v>
      </c>
      <c r="I190" s="180">
        <f t="shared" si="96"/>
        <v>13.070000000000164</v>
      </c>
      <c r="J190" s="179">
        <v>4009.18</v>
      </c>
      <c r="K190" s="177" t="d">
        <v>2021-02-16T11:32:59.99999974854290475</v>
      </c>
      <c r="L190" s="179">
        <v>3950.19</v>
      </c>
      <c r="M190" s="181">
        <f t="shared" si="97"/>
        <v>25.98</v>
      </c>
      <c r="N190" s="182">
        <f t="shared" si="98"/>
        <v>1.99</v>
      </c>
      <c r="O190" s="183">
        <f t="shared" si="99"/>
        <v>0</v>
      </c>
      <c r="P190" s="184">
        <f t="shared" si="100"/>
        <v>1.99</v>
      </c>
      <c r="Q190" s="184">
        <f t="shared" si="101"/>
        <v>0</v>
      </c>
      <c r="R19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9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25757.5</v>
      </c>
      <c r="T19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190" s="186">
        <f ca="1">IF(Tabla336106734812[[#This Row],[Equity]]&lt;Tabla336106734812[[#This Row],[Equity Peak]],(Tabla336106734812[[#This Row],[Equity Peak]]-Tabla336106734812[[#This Row],[Equity]])/Tabla336106734812[[#This Row],[Equity Peak]],"")</f>
        <v>1.2601783637068631E-3</v>
      </c>
      <c r="V190" s="187">
        <f t="shared" si="102"/>
        <v>0</v>
      </c>
      <c r="W190" s="187">
        <f t="shared" si="103"/>
        <v>0</v>
      </c>
      <c r="X190" s="187">
        <f t="shared" si="104"/>
        <v>0</v>
      </c>
      <c r="Y190" s="187">
        <f t="shared" si="105"/>
        <v>0</v>
      </c>
      <c r="Z190" s="187">
        <f t="shared" si="106"/>
        <v>1.99</v>
      </c>
      <c r="AA190" s="183">
        <f t="shared" si="107"/>
        <v>0</v>
      </c>
      <c r="AB190" s="187">
        <f t="shared" si="108"/>
        <v>0</v>
      </c>
      <c r="AC190" s="183">
        <f t="shared" si="109"/>
        <v>0</v>
      </c>
      <c r="AD190" s="188">
        <f t="shared" si="110"/>
        <v>3.741666666661331</v>
      </c>
      <c r="AE190" s="188">
        <f t="shared" si="111"/>
        <v>3.741666666661331</v>
      </c>
      <c r="AF190" s="188">
        <f t="shared" si="112"/>
        <v>0</v>
      </c>
      <c r="AG190" s="188">
        <f t="shared" si="113"/>
        <v>0</v>
      </c>
    </row>
    <row r="191" spans="2:33" ht="15" customHeight="1" x14ac:dyDescent="0.15">
      <c r="B191" s="174" t="s">
        <v>5</v>
      </c>
      <c r="C191" s="175" t="s">
        <v>15</v>
      </c>
      <c r="D191" s="176" t="str">
        <f t="shared" si="95"/>
        <v>C</v>
      </c>
      <c r="E191" s="177" t="d">
        <v>2021-02-04T17:00:00.00000020954757600</v>
      </c>
      <c r="F191" s="178" t="s">
        <v>82</v>
      </c>
      <c r="G191" s="179">
        <v>3849.72</v>
      </c>
      <c r="H191" s="179">
        <v>3824.42</v>
      </c>
      <c r="I191" s="180">
        <f t="shared" si="96"/>
        <v>25.299999999999727</v>
      </c>
      <c r="J191" s="179">
        <v>4014.18</v>
      </c>
      <c r="K191" s="177" t="d">
        <v>2021-02-09T16:38:59.99999987427145575</v>
      </c>
      <c r="L191" s="179">
        <v>3902.54</v>
      </c>
      <c r="M191" s="181">
        <f t="shared" si="97"/>
        <v>52.82</v>
      </c>
      <c r="N191" s="182">
        <f t="shared" si="98"/>
        <v>2.09</v>
      </c>
      <c r="O191" s="183">
        <f t="shared" si="99"/>
        <v>0</v>
      </c>
      <c r="P191" s="184">
        <f t="shared" si="100"/>
        <v>2.09</v>
      </c>
      <c r="Q191" s="184">
        <f t="shared" si="101"/>
        <v>0</v>
      </c>
      <c r="R19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9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25260</v>
      </c>
      <c r="T19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191" s="186">
        <f ca="1">IF(Tabla336106734812[[#This Row],[Equity]]&lt;Tabla336106734812[[#This Row],[Equity Peak]],(Tabla336106734812[[#This Row],[Equity Peak]]-Tabla336106734812[[#This Row],[Equity]])/Tabla336106734812[[#This Row],[Equity Peak]],"")</f>
        <v>2.055060100814269E-2</v>
      </c>
      <c r="V191" s="187">
        <f t="shared" si="102"/>
        <v>0</v>
      </c>
      <c r="W191" s="187">
        <f t="shared" si="103"/>
        <v>0</v>
      </c>
      <c r="X191" s="187">
        <f t="shared" si="104"/>
        <v>0</v>
      </c>
      <c r="Y191" s="187">
        <f t="shared" si="105"/>
        <v>0</v>
      </c>
      <c r="Z191" s="187">
        <f t="shared" si="106"/>
        <v>2.09</v>
      </c>
      <c r="AA191" s="183">
        <f t="shared" si="107"/>
        <v>0</v>
      </c>
      <c r="AB191" s="187">
        <f t="shared" si="108"/>
        <v>0</v>
      </c>
      <c r="AC191" s="183">
        <f t="shared" si="109"/>
        <v>0</v>
      </c>
      <c r="AD191" s="188">
        <f t="shared" si="110"/>
        <v>4.9854166666627862</v>
      </c>
      <c r="AE191" s="188">
        <f t="shared" si="111"/>
        <v>4.9854166666627862</v>
      </c>
      <c r="AF191" s="188">
        <f t="shared" si="112"/>
        <v>0</v>
      </c>
      <c r="AG191" s="188">
        <f t="shared" si="113"/>
        <v>0</v>
      </c>
    </row>
    <row r="192" spans="2:33" ht="15" customHeight="1" x14ac:dyDescent="0.15">
      <c r="B192" s="174" t="s">
        <v>5</v>
      </c>
      <c r="C192" s="175" t="s">
        <v>15</v>
      </c>
      <c r="D192" s="176" t="str">
        <f t="shared" si="95"/>
        <v>C</v>
      </c>
      <c r="E192" s="177" t="d">
        <v>2021-02-01T21:45:00.000</v>
      </c>
      <c r="F192" s="178" t="s">
        <v>82</v>
      </c>
      <c r="G192" s="179">
        <v>3783.3</v>
      </c>
      <c r="H192" s="179">
        <v>3749.19</v>
      </c>
      <c r="I192" s="180">
        <f t="shared" si="96"/>
        <v>34.110000000000127</v>
      </c>
      <c r="J192" s="179">
        <v>4004.99</v>
      </c>
      <c r="K192" s="177" t="d">
        <v>2021-02-03T17:23:59.99999987427145575</v>
      </c>
      <c r="L192" s="179">
        <v>3819.22</v>
      </c>
      <c r="M192" s="181">
        <f t="shared" si="97"/>
        <v>35.92</v>
      </c>
      <c r="N192" s="182">
        <f t="shared" si="98"/>
        <v>1.05</v>
      </c>
      <c r="O192" s="183">
        <f t="shared" si="99"/>
        <v>0</v>
      </c>
      <c r="P192" s="184">
        <f t="shared" si="100"/>
        <v>1.05</v>
      </c>
      <c r="Q192" s="184">
        <f t="shared" si="101"/>
        <v>0</v>
      </c>
      <c r="R19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9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24737.5</v>
      </c>
      <c r="T19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192" s="186">
        <f ca="1">IF(Tabla336106734812[[#This Row],[Equity]]&lt;Tabla336106734812[[#This Row],[Equity Peak]],(Tabla336106734812[[#This Row],[Equity Peak]]-Tabla336106734812[[#This Row],[Equity]])/Tabla336106734812[[#This Row],[Equity Peak]],"")</f>
        <v>4.081039162466072E-2</v>
      </c>
      <c r="V192" s="187">
        <f t="shared" si="102"/>
        <v>0</v>
      </c>
      <c r="W192" s="187">
        <f t="shared" si="103"/>
        <v>0</v>
      </c>
      <c r="X192" s="187">
        <f t="shared" si="104"/>
        <v>0</v>
      </c>
      <c r="Y192" s="187">
        <f t="shared" si="105"/>
        <v>0</v>
      </c>
      <c r="Z192" s="187">
        <f t="shared" si="106"/>
        <v>1.05</v>
      </c>
      <c r="AA192" s="183">
        <f t="shared" si="107"/>
        <v>0</v>
      </c>
      <c r="AB192" s="187">
        <f t="shared" si="108"/>
        <v>0</v>
      </c>
      <c r="AC192" s="183">
        <f t="shared" si="109"/>
        <v>0</v>
      </c>
      <c r="AD192" s="188">
        <f t="shared" si="110"/>
        <v>1.8187499999985448</v>
      </c>
      <c r="AE192" s="188">
        <f t="shared" si="111"/>
        <v>1.8187499999985448</v>
      </c>
      <c r="AF192" s="188">
        <f t="shared" si="112"/>
        <v>0</v>
      </c>
      <c r="AG192" s="188">
        <f t="shared" si="113"/>
        <v>0</v>
      </c>
    </row>
    <row r="193" spans="2:33" ht="15" customHeight="1" x14ac:dyDescent="0.15">
      <c r="B193" s="174" t="s">
        <v>5</v>
      </c>
      <c r="C193" s="175" t="s">
        <v>13</v>
      </c>
      <c r="D193" s="176" t="str">
        <f t="shared" si="95"/>
        <v>C</v>
      </c>
      <c r="E193" s="177" t="d">
        <v>2021-02-01T01:15:00.00000020954757600</v>
      </c>
      <c r="F193" s="178" t="s">
        <v>82</v>
      </c>
      <c r="G193" s="179">
        <v>3674.99</v>
      </c>
      <c r="H193" s="179">
        <v>3707.62</v>
      </c>
      <c r="I193" s="180">
        <f t="shared" si="96"/>
        <v>32.630000000000109</v>
      </c>
      <c r="J193" s="179">
        <v>3462.86</v>
      </c>
      <c r="K193" s="177" t="d">
        <v>2021-02-01T04:21:00.00000012572854425</v>
      </c>
      <c r="L193" s="179">
        <v>3707.37</v>
      </c>
      <c r="M193" s="181">
        <f t="shared" si="97"/>
        <v>-32.380000000000003</v>
      </c>
      <c r="N193" s="182">
        <f t="shared" si="98"/>
        <v>-0.99</v>
      </c>
      <c r="O193" s="183">
        <f t="shared" si="99"/>
        <v>0</v>
      </c>
      <c r="P193" s="184">
        <f t="shared" si="100"/>
        <v>0</v>
      </c>
      <c r="Q193" s="184">
        <f t="shared" si="101"/>
        <v>-0.99</v>
      </c>
      <c r="R19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9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24475</v>
      </c>
      <c r="T19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193" s="186">
        <f ca="1">IF(Tabla336106734812[[#This Row],[Equity]]&lt;Tabla336106734812[[#This Row],[Equity Peak]],(Tabla336106734812[[#This Row],[Equity Peak]]-Tabla336106734812[[#This Row],[Equity]])/Tabla336106734812[[#This Row],[Equity Peak]],"")</f>
        <v>5.0988755331523847E-2</v>
      </c>
      <c r="V193" s="187">
        <f t="shared" si="102"/>
        <v>0</v>
      </c>
      <c r="W193" s="187">
        <f t="shared" si="103"/>
        <v>0</v>
      </c>
      <c r="X193" s="187">
        <f t="shared" si="104"/>
        <v>0</v>
      </c>
      <c r="Y193" s="187">
        <f t="shared" si="105"/>
        <v>0</v>
      </c>
      <c r="Z193" s="187">
        <f t="shared" si="106"/>
        <v>-0.99</v>
      </c>
      <c r="AA193" s="183">
        <f t="shared" si="107"/>
        <v>0</v>
      </c>
      <c r="AB193" s="187">
        <f t="shared" si="108"/>
        <v>0</v>
      </c>
      <c r="AC193" s="183">
        <f t="shared" si="109"/>
        <v>0</v>
      </c>
      <c r="AD193" s="188">
        <f t="shared" si="110"/>
        <v>0.12916666666569654</v>
      </c>
      <c r="AE193" s="188">
        <f t="shared" si="111"/>
        <v>0</v>
      </c>
      <c r="AF193" s="188">
        <f t="shared" si="112"/>
        <v>0.12916666666569654</v>
      </c>
      <c r="AG193" s="188">
        <f t="shared" si="113"/>
        <v>0</v>
      </c>
    </row>
    <row r="194" spans="2:33" ht="15" customHeight="1" x14ac:dyDescent="0.15">
      <c r="B194" s="174" t="s">
        <v>5</v>
      </c>
      <c r="C194" s="175" t="s">
        <v>13</v>
      </c>
      <c r="D194" s="176" t="str">
        <f t="shared" si="95"/>
        <v>C</v>
      </c>
      <c r="E194" s="177" t="d">
        <v>2021-01-29T19:30:00.000</v>
      </c>
      <c r="F194" s="178" t="s">
        <v>82</v>
      </c>
      <c r="G194" s="179">
        <v>3718.11</v>
      </c>
      <c r="H194" s="179">
        <v>3748.58</v>
      </c>
      <c r="I194" s="180">
        <f t="shared" si="96"/>
        <v>30.4699999999998</v>
      </c>
      <c r="J194" s="179">
        <v>3520.05</v>
      </c>
      <c r="K194" s="177" t="d">
        <v>2021-01-29T22:03:59.99999994412064550</v>
      </c>
      <c r="L194" s="179">
        <v>3733.19</v>
      </c>
      <c r="M194" s="181">
        <f t="shared" si="97"/>
        <v>-15.08</v>
      </c>
      <c r="N194" s="182">
        <f t="shared" si="98"/>
        <v>-0.49</v>
      </c>
      <c r="O194" s="183">
        <f t="shared" si="99"/>
        <v>0</v>
      </c>
      <c r="P194" s="184">
        <f t="shared" si="100"/>
        <v>0</v>
      </c>
      <c r="Q194" s="184">
        <f t="shared" si="101"/>
        <v>-0.49</v>
      </c>
      <c r="R19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9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24722.5</v>
      </c>
      <c r="T19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194" s="186">
        <f ca="1">IF(Tabla336106734812[[#This Row],[Equity]]&lt;Tabla336106734812[[#This Row],[Equity Peak]],(Tabla336106734812[[#This Row],[Equity Peak]]-Tabla336106734812[[#This Row],[Equity]])/Tabla336106734812[[#This Row],[Equity Peak]],"")</f>
        <v>4.1392012407910045E-2</v>
      </c>
      <c r="V194" s="187">
        <f t="shared" si="102"/>
        <v>0</v>
      </c>
      <c r="W194" s="187">
        <f t="shared" si="103"/>
        <v>0</v>
      </c>
      <c r="X194" s="187">
        <f t="shared" si="104"/>
        <v>0</v>
      </c>
      <c r="Y194" s="187">
        <f t="shared" si="105"/>
        <v>0</v>
      </c>
      <c r="Z194" s="187">
        <f t="shared" si="106"/>
        <v>-0.49</v>
      </c>
      <c r="AA194" s="183">
        <f t="shared" si="107"/>
        <v>0</v>
      </c>
      <c r="AB194" s="187">
        <f t="shared" si="108"/>
        <v>0</v>
      </c>
      <c r="AC194" s="183">
        <f t="shared" si="109"/>
        <v>0</v>
      </c>
      <c r="AD194" s="188">
        <f t="shared" si="110"/>
        <v>0.10694444444379769</v>
      </c>
      <c r="AE194" s="188">
        <f t="shared" si="111"/>
        <v>0</v>
      </c>
      <c r="AF194" s="188">
        <f t="shared" si="112"/>
        <v>0.10694444444379769</v>
      </c>
      <c r="AG194" s="188">
        <f t="shared" si="113"/>
        <v>0</v>
      </c>
    </row>
    <row r="195" spans="2:33" ht="15" customHeight="1" x14ac:dyDescent="0.15">
      <c r="B195" s="174" t="s">
        <v>5</v>
      </c>
      <c r="C195" s="175" t="s">
        <v>13</v>
      </c>
      <c r="D195" s="176" t="str">
        <f t="shared" si="95"/>
        <v>C</v>
      </c>
      <c r="E195" s="177" t="d">
        <v>2021-01-29T07:30:00.000</v>
      </c>
      <c r="F195" s="178" t="s">
        <v>82</v>
      </c>
      <c r="G195" s="179">
        <v>3733.29</v>
      </c>
      <c r="H195" s="179">
        <v>3759.71</v>
      </c>
      <c r="I195" s="180">
        <f t="shared" si="96"/>
        <v>26.420000000000073</v>
      </c>
      <c r="J195" s="179">
        <v>3561.58</v>
      </c>
      <c r="K195" s="177" t="d">
        <v>2021-01-29T13:21:00.00000012572854425</v>
      </c>
      <c r="L195" s="179">
        <v>3759.71</v>
      </c>
      <c r="M195" s="181">
        <f t="shared" si="97"/>
        <v>-26.42</v>
      </c>
      <c r="N195" s="182">
        <f t="shared" si="98"/>
        <v>-1</v>
      </c>
      <c r="O195" s="183">
        <f t="shared" si="99"/>
        <v>0</v>
      </c>
      <c r="P195" s="184">
        <f t="shared" si="100"/>
        <v>0</v>
      </c>
      <c r="Q195" s="184">
        <f t="shared" si="101"/>
        <v>-1</v>
      </c>
      <c r="R19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9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24845</v>
      </c>
      <c r="T19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195" s="186">
        <f ca="1">IF(Tabla336106734812[[#This Row],[Equity]]&lt;Tabla336106734812[[#This Row],[Equity Peak]],(Tabla336106734812[[#This Row],[Equity Peak]]-Tabla336106734812[[#This Row],[Equity]])/Tabla336106734812[[#This Row],[Equity Peak]],"")</f>
        <v>3.6642109344707248E-2</v>
      </c>
      <c r="V195" s="187">
        <f t="shared" si="102"/>
        <v>0</v>
      </c>
      <c r="W195" s="187">
        <f t="shared" si="103"/>
        <v>0</v>
      </c>
      <c r="X195" s="187">
        <f t="shared" si="104"/>
        <v>0</v>
      </c>
      <c r="Y195" s="187">
        <f t="shared" si="105"/>
        <v>0</v>
      </c>
      <c r="Z195" s="187">
        <f t="shared" si="106"/>
        <v>-1</v>
      </c>
      <c r="AA195" s="183">
        <f t="shared" si="107"/>
        <v>0</v>
      </c>
      <c r="AB195" s="187">
        <f t="shared" si="108"/>
        <v>0</v>
      </c>
      <c r="AC195" s="183">
        <f t="shared" si="109"/>
        <v>0</v>
      </c>
      <c r="AD195" s="188">
        <f t="shared" si="110"/>
        <v>0.24375000000145519</v>
      </c>
      <c r="AE195" s="188">
        <f t="shared" si="111"/>
        <v>0</v>
      </c>
      <c r="AF195" s="188">
        <f t="shared" si="112"/>
        <v>0.24375000000145519</v>
      </c>
      <c r="AG195" s="188">
        <f t="shared" si="113"/>
        <v>0</v>
      </c>
    </row>
    <row r="196" spans="2:33" ht="15" customHeight="1" x14ac:dyDescent="0.15">
      <c r="B196" s="174" t="s">
        <v>5</v>
      </c>
      <c r="C196" s="175" t="s">
        <v>15</v>
      </c>
      <c r="D196" s="176" t="str">
        <f t="shared" si="95"/>
        <v>C</v>
      </c>
      <c r="E196" s="177" t="d">
        <v>2021-01-28T18:14:59.99999979045242400</v>
      </c>
      <c r="F196" s="178" t="s">
        <v>82</v>
      </c>
      <c r="G196" s="179">
        <v>3820.15</v>
      </c>
      <c r="H196" s="179">
        <v>3795.19</v>
      </c>
      <c r="I196" s="180">
        <f t="shared" si="96"/>
        <v>24.960000000000036</v>
      </c>
      <c r="J196" s="179">
        <v>3982.38</v>
      </c>
      <c r="K196" s="177" t="d">
        <v>2021-01-28T22:28:00.00000023748725325</v>
      </c>
      <c r="L196" s="179">
        <v>3804.32</v>
      </c>
      <c r="M196" s="181">
        <f t="shared" si="97"/>
        <v>-15.83</v>
      </c>
      <c r="N196" s="182">
        <f t="shared" si="98"/>
        <v>-0.63</v>
      </c>
      <c r="O196" s="183">
        <f t="shared" si="99"/>
        <v>0</v>
      </c>
      <c r="P196" s="184">
        <f t="shared" si="100"/>
        <v>0</v>
      </c>
      <c r="Q196" s="184">
        <f t="shared" si="101"/>
        <v>-0.63</v>
      </c>
      <c r="R19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9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25095</v>
      </c>
      <c r="T19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196" s="186">
        <f ca="1">IF(Tabla336106734812[[#This Row],[Equity]]&lt;Tabla336106734812[[#This Row],[Equity Peak]],(Tabla336106734812[[#This Row],[Equity Peak]]-Tabla336106734812[[#This Row],[Equity]])/Tabla336106734812[[#This Row],[Equity Peak]],"")</f>
        <v>2.6948429623885228E-2</v>
      </c>
      <c r="V196" s="187">
        <f t="shared" si="102"/>
        <v>0</v>
      </c>
      <c r="W196" s="187">
        <f t="shared" si="103"/>
        <v>0</v>
      </c>
      <c r="X196" s="187">
        <f t="shared" si="104"/>
        <v>0</v>
      </c>
      <c r="Y196" s="187">
        <f t="shared" si="105"/>
        <v>0</v>
      </c>
      <c r="Z196" s="187">
        <f t="shared" si="106"/>
        <v>-0.63</v>
      </c>
      <c r="AA196" s="183">
        <f t="shared" si="107"/>
        <v>0</v>
      </c>
      <c r="AB196" s="187">
        <f t="shared" si="108"/>
        <v>0</v>
      </c>
      <c r="AC196" s="183">
        <f t="shared" si="109"/>
        <v>0</v>
      </c>
      <c r="AD196" s="188">
        <f t="shared" si="110"/>
        <v>0.17569444444961846</v>
      </c>
      <c r="AE196" s="188">
        <f t="shared" si="111"/>
        <v>0</v>
      </c>
      <c r="AF196" s="188">
        <f t="shared" si="112"/>
        <v>0.17569444444961846</v>
      </c>
      <c r="AG196" s="188">
        <f t="shared" si="113"/>
        <v>0</v>
      </c>
    </row>
    <row r="197" spans="2:33" ht="15" customHeight="1" x14ac:dyDescent="0.15">
      <c r="B197" s="174" t="s">
        <v>5</v>
      </c>
      <c r="C197" s="175" t="s">
        <v>13</v>
      </c>
      <c r="D197" s="176" t="str">
        <f t="shared" si="95"/>
        <v>C</v>
      </c>
      <c r="E197" s="177" t="d">
        <v>2021-01-27T13:15:00.00000020954757600</v>
      </c>
      <c r="F197" s="178" t="s">
        <v>82</v>
      </c>
      <c r="G197" s="179">
        <v>3833.45</v>
      </c>
      <c r="H197" s="179">
        <v>3849.5</v>
      </c>
      <c r="I197" s="180">
        <f t="shared" si="96"/>
        <v>16.050000000000182</v>
      </c>
      <c r="J197" s="179">
        <v>3729.1</v>
      </c>
      <c r="K197" s="177" t="d">
        <v>2021-01-27T17:06:00.00000012572854425</v>
      </c>
      <c r="L197" s="179">
        <v>3792.8</v>
      </c>
      <c r="M197" s="181">
        <f t="shared" si="97"/>
        <v>40.65</v>
      </c>
      <c r="N197" s="182">
        <f t="shared" si="98"/>
        <v>2.5299999999999998</v>
      </c>
      <c r="O197" s="183">
        <f t="shared" si="99"/>
        <v>0</v>
      </c>
      <c r="P197" s="184">
        <f t="shared" si="100"/>
        <v>2.5299999999999998</v>
      </c>
      <c r="Q197" s="184">
        <f t="shared" si="101"/>
        <v>0</v>
      </c>
      <c r="R19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9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25252.5</v>
      </c>
      <c r="T19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197" s="186">
        <f ca="1">IF(Tabla336106734812[[#This Row],[Equity]]&lt;Tabla336106734812[[#This Row],[Equity Peak]],(Tabla336106734812[[#This Row],[Equity Peak]]-Tabla336106734812[[#This Row],[Equity]])/Tabla336106734812[[#This Row],[Equity Peak]],"")</f>
        <v>2.0841411399767352E-2</v>
      </c>
      <c r="V197" s="187">
        <f t="shared" si="102"/>
        <v>0</v>
      </c>
      <c r="W197" s="187">
        <f t="shared" si="103"/>
        <v>0</v>
      </c>
      <c r="X197" s="187">
        <f t="shared" si="104"/>
        <v>0</v>
      </c>
      <c r="Y197" s="187">
        <f t="shared" si="105"/>
        <v>0</v>
      </c>
      <c r="Z197" s="187">
        <f t="shared" si="106"/>
        <v>2.5299999999999998</v>
      </c>
      <c r="AA197" s="183">
        <f t="shared" si="107"/>
        <v>0</v>
      </c>
      <c r="AB197" s="187">
        <f t="shared" si="108"/>
        <v>0</v>
      </c>
      <c r="AC197" s="183">
        <f t="shared" si="109"/>
        <v>0</v>
      </c>
      <c r="AD197" s="188">
        <f t="shared" si="110"/>
        <v>0.16041666666569654</v>
      </c>
      <c r="AE197" s="188">
        <f t="shared" si="111"/>
        <v>0.16041666666569654</v>
      </c>
      <c r="AF197" s="188">
        <f t="shared" si="112"/>
        <v>0</v>
      </c>
      <c r="AG197" s="188">
        <f t="shared" si="113"/>
        <v>0</v>
      </c>
    </row>
    <row r="198" spans="2:33" ht="15" customHeight="1" x14ac:dyDescent="0.15">
      <c r="B198" s="174" t="s">
        <v>5</v>
      </c>
      <c r="C198" s="175" t="s">
        <v>15</v>
      </c>
      <c r="D198" s="176" t="str">
        <f t="shared" si="95"/>
        <v>C</v>
      </c>
      <c r="E198" s="177" t="d">
        <v>2021-01-26T16:15:00.00000020954757600</v>
      </c>
      <c r="F198" s="178" t="s">
        <v>82</v>
      </c>
      <c r="G198" s="179">
        <v>3865.09</v>
      </c>
      <c r="H198" s="179">
        <v>3849.5</v>
      </c>
      <c r="I198" s="180">
        <f t="shared" si="96"/>
        <v>15.590000000000146</v>
      </c>
      <c r="J198" s="179">
        <v>3966.41</v>
      </c>
      <c r="K198" s="177" t="d">
        <v>2021-01-26T17:17:59.9999999580904875</v>
      </c>
      <c r="L198" s="179">
        <v>3850.23</v>
      </c>
      <c r="M198" s="181">
        <f t="shared" si="97"/>
        <v>-14.86</v>
      </c>
      <c r="N198" s="182">
        <f t="shared" si="98"/>
        <v>-0.95</v>
      </c>
      <c r="O198" s="183">
        <f t="shared" si="99"/>
        <v>0</v>
      </c>
      <c r="P198" s="184">
        <f t="shared" si="100"/>
        <v>0</v>
      </c>
      <c r="Q198" s="184">
        <f t="shared" si="101"/>
        <v>-0.95</v>
      </c>
      <c r="R19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9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24620</v>
      </c>
      <c r="T19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198" s="186">
        <f ca="1">IF(Tabla336106734812[[#This Row],[Equity]]&lt;Tabla336106734812[[#This Row],[Equity Peak]],(Tabla336106734812[[#This Row],[Equity Peak]]-Tabla336106734812[[#This Row],[Equity]])/Tabla336106734812[[#This Row],[Equity Peak]],"")</f>
        <v>4.5366421093447074E-2</v>
      </c>
      <c r="V198" s="187">
        <f t="shared" si="102"/>
        <v>0</v>
      </c>
      <c r="W198" s="187">
        <f t="shared" si="103"/>
        <v>0</v>
      </c>
      <c r="X198" s="187">
        <f t="shared" si="104"/>
        <v>0</v>
      </c>
      <c r="Y198" s="187">
        <f t="shared" si="105"/>
        <v>0</v>
      </c>
      <c r="Z198" s="187">
        <f t="shared" si="106"/>
        <v>-0.95</v>
      </c>
      <c r="AA198" s="183">
        <f t="shared" si="107"/>
        <v>0</v>
      </c>
      <c r="AB198" s="187">
        <f t="shared" si="108"/>
        <v>0</v>
      </c>
      <c r="AC198" s="183">
        <f t="shared" si="109"/>
        <v>0</v>
      </c>
      <c r="AD198" s="188">
        <f t="shared" si="110"/>
        <v>4.3749999997089617E-2</v>
      </c>
      <c r="AE198" s="188">
        <f t="shared" si="111"/>
        <v>0</v>
      </c>
      <c r="AF198" s="188">
        <f t="shared" si="112"/>
        <v>4.3749999997089617E-2</v>
      </c>
      <c r="AG198" s="188">
        <f t="shared" si="113"/>
        <v>0</v>
      </c>
    </row>
    <row r="199" spans="2:33" ht="15" customHeight="1" x14ac:dyDescent="0.15">
      <c r="B199" s="174" t="s">
        <v>5</v>
      </c>
      <c r="C199" s="175" t="s">
        <v>13</v>
      </c>
      <c r="D199" s="176" t="str">
        <f t="shared" si="95"/>
        <v>C</v>
      </c>
      <c r="E199" s="177" t="d">
        <v>2021-01-25T18:00:00.000</v>
      </c>
      <c r="F199" s="178" t="s">
        <v>82</v>
      </c>
      <c r="G199" s="179">
        <v>3824.17</v>
      </c>
      <c r="H199" s="179">
        <v>3838.56</v>
      </c>
      <c r="I199" s="180">
        <f t="shared" si="96"/>
        <v>14.389999999999873</v>
      </c>
      <c r="J199" s="179">
        <v>3730.65</v>
      </c>
      <c r="K199" s="177" t="d">
        <v>2021-01-25T18:50:59.99999991618096825</v>
      </c>
      <c r="L199" s="179">
        <v>3832.2</v>
      </c>
      <c r="M199" s="181">
        <f t="shared" si="97"/>
        <v>-8.0299999999999994</v>
      </c>
      <c r="N199" s="182">
        <f t="shared" si="98"/>
        <v>-0.56000000000000005</v>
      </c>
      <c r="O199" s="183">
        <f t="shared" si="99"/>
        <v>0</v>
      </c>
      <c r="P199" s="184">
        <f t="shared" si="100"/>
        <v>0</v>
      </c>
      <c r="Q199" s="184">
        <f t="shared" si="101"/>
        <v>-0.56000000000000005</v>
      </c>
      <c r="R19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9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24857.5</v>
      </c>
      <c r="T19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199" s="186">
        <f ca="1">IF(Tabla336106734812[[#This Row],[Equity]]&lt;Tabla336106734812[[#This Row],[Equity Peak]],(Tabla336106734812[[#This Row],[Equity Peak]]-Tabla336106734812[[#This Row],[Equity]])/Tabla336106734812[[#This Row],[Equity Peak]],"")</f>
        <v>3.6157425358666152E-2</v>
      </c>
      <c r="V199" s="187">
        <f t="shared" si="102"/>
        <v>0</v>
      </c>
      <c r="W199" s="187">
        <f t="shared" si="103"/>
        <v>0</v>
      </c>
      <c r="X199" s="187">
        <f t="shared" si="104"/>
        <v>0</v>
      </c>
      <c r="Y199" s="187">
        <f t="shared" si="105"/>
        <v>0</v>
      </c>
      <c r="Z199" s="187">
        <f t="shared" si="106"/>
        <v>-0.56000000000000005</v>
      </c>
      <c r="AA199" s="183">
        <f t="shared" si="107"/>
        <v>0</v>
      </c>
      <c r="AB199" s="187">
        <f t="shared" si="108"/>
        <v>0</v>
      </c>
      <c r="AC199" s="183">
        <f t="shared" si="109"/>
        <v>0</v>
      </c>
      <c r="AD199" s="188">
        <f t="shared" si="110"/>
        <v>3.5416666665696539E-2</v>
      </c>
      <c r="AE199" s="188">
        <f t="shared" si="111"/>
        <v>0</v>
      </c>
      <c r="AF199" s="188">
        <f t="shared" si="112"/>
        <v>3.5416666665696539E-2</v>
      </c>
      <c r="AG199" s="188">
        <f t="shared" si="113"/>
        <v>0</v>
      </c>
    </row>
    <row r="200" spans="2:33" ht="15" customHeight="1" x14ac:dyDescent="0.15">
      <c r="B200" s="174" t="s">
        <v>5</v>
      </c>
      <c r="C200" s="175" t="s">
        <v>15</v>
      </c>
      <c r="D200" s="176" t="str">
        <f t="shared" si="95"/>
        <v>C</v>
      </c>
      <c r="E200" s="177" t="d">
        <v>2021-01-25T02:45:00.00000020954757600</v>
      </c>
      <c r="F200" s="178" t="s">
        <v>82</v>
      </c>
      <c r="G200" s="179">
        <v>3853.73</v>
      </c>
      <c r="H200" s="179">
        <v>3840.06</v>
      </c>
      <c r="I200" s="180">
        <f t="shared" si="96"/>
        <v>13.670000000000073</v>
      </c>
      <c r="J200" s="179">
        <v>3942.6</v>
      </c>
      <c r="K200" s="177" t="d">
        <v>2021-01-25T13:47:59.99999974854290475</v>
      </c>
      <c r="L200" s="179">
        <v>3846.06</v>
      </c>
      <c r="M200" s="181">
        <f t="shared" si="97"/>
        <v>-7.67</v>
      </c>
      <c r="N200" s="182">
        <f t="shared" si="98"/>
        <v>-0.56000000000000005</v>
      </c>
      <c r="O200" s="183">
        <f t="shared" si="99"/>
        <v>0</v>
      </c>
      <c r="P200" s="184">
        <f t="shared" si="100"/>
        <v>0</v>
      </c>
      <c r="Q200" s="184">
        <f t="shared" si="101"/>
        <v>-0.56000000000000005</v>
      </c>
      <c r="R20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0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24997.5</v>
      </c>
      <c r="T20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200" s="186">
        <f ca="1">IF(Tabla336106734812[[#This Row],[Equity]]&lt;Tabla336106734812[[#This Row],[Equity Peak]],(Tabla336106734812[[#This Row],[Equity Peak]]-Tabla336106734812[[#This Row],[Equity]])/Tabla336106734812[[#This Row],[Equity Peak]],"")</f>
        <v>3.0728964715005816E-2</v>
      </c>
      <c r="V200" s="187">
        <f t="shared" si="102"/>
        <v>0</v>
      </c>
      <c r="W200" s="187">
        <f t="shared" si="103"/>
        <v>0</v>
      </c>
      <c r="X200" s="187">
        <f t="shared" si="104"/>
        <v>0</v>
      </c>
      <c r="Y200" s="187">
        <f t="shared" si="105"/>
        <v>0</v>
      </c>
      <c r="Z200" s="187">
        <f t="shared" si="106"/>
        <v>-0.56000000000000005</v>
      </c>
      <c r="AA200" s="183">
        <f t="shared" si="107"/>
        <v>0</v>
      </c>
      <c r="AB200" s="187">
        <f t="shared" si="108"/>
        <v>0</v>
      </c>
      <c r="AC200" s="183">
        <f t="shared" si="109"/>
        <v>0</v>
      </c>
      <c r="AD200" s="188">
        <f t="shared" si="110"/>
        <v>0.46041666666133096</v>
      </c>
      <c r="AE200" s="188">
        <f t="shared" si="111"/>
        <v>0</v>
      </c>
      <c r="AF200" s="188">
        <f t="shared" si="112"/>
        <v>0.46041666666133096</v>
      </c>
      <c r="AG200" s="188">
        <f t="shared" si="113"/>
        <v>0</v>
      </c>
    </row>
    <row r="201" spans="2:33" ht="15" customHeight="1" x14ac:dyDescent="0.15">
      <c r="B201" s="174" t="s">
        <v>5</v>
      </c>
      <c r="C201" s="175" t="s">
        <v>15</v>
      </c>
      <c r="D201" s="176" t="str">
        <f t="shared" si="95"/>
        <v>C</v>
      </c>
      <c r="E201" s="177" t="d">
        <v>2021-01-22T22:30:00.000</v>
      </c>
      <c r="F201" s="178" t="s">
        <v>82</v>
      </c>
      <c r="G201" s="179">
        <v>3851.69</v>
      </c>
      <c r="H201" s="179">
        <v>3838.19</v>
      </c>
      <c r="I201" s="180">
        <f t="shared" si="96"/>
        <v>13.5</v>
      </c>
      <c r="J201" s="179">
        <v>3939.44</v>
      </c>
      <c r="K201" s="177" t="d">
        <v>2021-01-22T23:00:59.99999977648258200</v>
      </c>
      <c r="L201" s="179">
        <v>3838.48</v>
      </c>
      <c r="M201" s="181">
        <f t="shared" si="97"/>
        <v>-13.21</v>
      </c>
      <c r="N201" s="182">
        <f t="shared" si="98"/>
        <v>-0.98</v>
      </c>
      <c r="O201" s="183">
        <f t="shared" si="99"/>
        <v>0</v>
      </c>
      <c r="P201" s="184">
        <f t="shared" si="100"/>
        <v>0</v>
      </c>
      <c r="Q201" s="184">
        <f t="shared" si="101"/>
        <v>-0.98</v>
      </c>
      <c r="R20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0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25137.5</v>
      </c>
      <c r="T20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201" s="186">
        <f ca="1">IF(Tabla336106734812[[#This Row],[Equity]]&lt;Tabla336106734812[[#This Row],[Equity Peak]],(Tabla336106734812[[#This Row],[Equity Peak]]-Tabla336106734812[[#This Row],[Equity]])/Tabla336106734812[[#This Row],[Equity Peak]],"")</f>
        <v>2.5300504071345483E-2</v>
      </c>
      <c r="V201" s="187">
        <f t="shared" si="102"/>
        <v>0</v>
      </c>
      <c r="W201" s="187">
        <f t="shared" si="103"/>
        <v>0</v>
      </c>
      <c r="X201" s="187">
        <f t="shared" si="104"/>
        <v>0</v>
      </c>
      <c r="Y201" s="187">
        <f t="shared" si="105"/>
        <v>0</v>
      </c>
      <c r="Z201" s="187">
        <f t="shared" si="106"/>
        <v>-0.98</v>
      </c>
      <c r="AA201" s="183">
        <f t="shared" si="107"/>
        <v>0</v>
      </c>
      <c r="AB201" s="187">
        <f t="shared" si="108"/>
        <v>0</v>
      </c>
      <c r="AC201" s="183">
        <f t="shared" si="109"/>
        <v>0</v>
      </c>
      <c r="AD201" s="188">
        <f t="shared" si="110"/>
        <v>2.1527777775190771E-2</v>
      </c>
      <c r="AE201" s="188">
        <f t="shared" si="111"/>
        <v>0</v>
      </c>
      <c r="AF201" s="188">
        <f t="shared" si="112"/>
        <v>2.1527777775190771E-2</v>
      </c>
      <c r="AG201" s="188">
        <f t="shared" si="113"/>
        <v>0</v>
      </c>
    </row>
    <row r="202" spans="2:33" ht="15" customHeight="1" x14ac:dyDescent="0.15">
      <c r="B202" s="174" t="s">
        <v>5</v>
      </c>
      <c r="C202" s="175" t="s">
        <v>15</v>
      </c>
      <c r="D202" s="176" t="str">
        <f t="shared" si="95"/>
        <v>C</v>
      </c>
      <c r="E202" s="177" t="d">
        <v>2021-01-20T01:15:00.00000020954757600</v>
      </c>
      <c r="F202" s="178" t="s">
        <v>82</v>
      </c>
      <c r="G202" s="179">
        <v>3806.62</v>
      </c>
      <c r="H202" s="179">
        <v>3790.57</v>
      </c>
      <c r="I202" s="180">
        <f t="shared" si="96"/>
        <v>16.049999999999727</v>
      </c>
      <c r="J202" s="179">
        <v>3910.95</v>
      </c>
      <c r="K202" s="177" t="d">
        <v>2021-01-21T15:53:59.99999987427145575</v>
      </c>
      <c r="L202" s="179">
        <v>3850.63</v>
      </c>
      <c r="M202" s="181">
        <f t="shared" si="97"/>
        <v>44.01</v>
      </c>
      <c r="N202" s="182">
        <f t="shared" si="98"/>
        <v>2.74</v>
      </c>
      <c r="O202" s="183">
        <f t="shared" si="99"/>
        <v>0</v>
      </c>
      <c r="P202" s="184">
        <f t="shared" si="100"/>
        <v>2.74</v>
      </c>
      <c r="Q202" s="184">
        <f t="shared" si="101"/>
        <v>0</v>
      </c>
      <c r="R20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0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25382.5</v>
      </c>
      <c r="T20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202" s="186">
        <f ca="1">IF(Tabla336106734812[[#This Row],[Equity]]&lt;Tabla336106734812[[#This Row],[Equity Peak]],(Tabla336106734812[[#This Row],[Equity Peak]]-Tabla336106734812[[#This Row],[Equity]])/Tabla336106734812[[#This Row],[Equity Peak]],"")</f>
        <v>1.58006979449399E-2</v>
      </c>
      <c r="V202" s="187">
        <f t="shared" si="102"/>
        <v>0</v>
      </c>
      <c r="W202" s="187">
        <f t="shared" si="103"/>
        <v>0</v>
      </c>
      <c r="X202" s="187">
        <f t="shared" si="104"/>
        <v>0</v>
      </c>
      <c r="Y202" s="187">
        <f t="shared" si="105"/>
        <v>0</v>
      </c>
      <c r="Z202" s="187">
        <f t="shared" si="106"/>
        <v>2.74</v>
      </c>
      <c r="AA202" s="183">
        <f t="shared" si="107"/>
        <v>0</v>
      </c>
      <c r="AB202" s="187">
        <f t="shared" si="108"/>
        <v>0</v>
      </c>
      <c r="AC202" s="183">
        <f t="shared" si="109"/>
        <v>0</v>
      </c>
      <c r="AD202" s="188">
        <f t="shared" si="110"/>
        <v>1.6104166666627862</v>
      </c>
      <c r="AE202" s="188">
        <f t="shared" si="111"/>
        <v>1.6104166666627862</v>
      </c>
      <c r="AF202" s="188">
        <f t="shared" si="112"/>
        <v>0</v>
      </c>
      <c r="AG202" s="188">
        <f t="shared" si="113"/>
        <v>0</v>
      </c>
    </row>
    <row r="203" spans="2:33" ht="15" customHeight="1" x14ac:dyDescent="0.15">
      <c r="B203" s="174" t="s">
        <v>5</v>
      </c>
      <c r="C203" s="175" t="s">
        <v>15</v>
      </c>
      <c r="D203" s="176" t="str">
        <f t="shared" si="95"/>
        <v>C</v>
      </c>
      <c r="E203" s="177" t="d">
        <v>2021-01-19T02:45:00.00000020954757600</v>
      </c>
      <c r="F203" s="178" t="s">
        <v>82</v>
      </c>
      <c r="G203" s="179">
        <v>3787.95</v>
      </c>
      <c r="H203" s="179">
        <v>3771.24</v>
      </c>
      <c r="I203" s="180">
        <f t="shared" si="96"/>
        <v>16.710000000000036</v>
      </c>
      <c r="J203" s="179">
        <v>3896.55</v>
      </c>
      <c r="K203" s="177" t="d">
        <v>2021-01-19T16:54:00.00000029336660775</v>
      </c>
      <c r="L203" s="179">
        <v>3784.27</v>
      </c>
      <c r="M203" s="181">
        <f t="shared" si="97"/>
        <v>-3.68</v>
      </c>
      <c r="N203" s="182">
        <f t="shared" si="98"/>
        <v>-0.22</v>
      </c>
      <c r="O203" s="183">
        <f t="shared" si="99"/>
        <v>0</v>
      </c>
      <c r="P203" s="184">
        <f t="shared" si="100"/>
        <v>0</v>
      </c>
      <c r="Q203" s="184">
        <f t="shared" si="101"/>
        <v>-0.22</v>
      </c>
      <c r="R20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0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24697.5</v>
      </c>
      <c r="T20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203" s="186">
        <f ca="1">IF(Tabla336106734812[[#This Row],[Equity]]&lt;Tabla336106734812[[#This Row],[Equity Peak]],(Tabla336106734812[[#This Row],[Equity Peak]]-Tabla336106734812[[#This Row],[Equity]])/Tabla336106734812[[#This Row],[Equity Peak]],"")</f>
        <v>4.2361380379992243E-2</v>
      </c>
      <c r="V203" s="187">
        <f t="shared" si="102"/>
        <v>0</v>
      </c>
      <c r="W203" s="187">
        <f t="shared" si="103"/>
        <v>0</v>
      </c>
      <c r="X203" s="187">
        <f t="shared" si="104"/>
        <v>0</v>
      </c>
      <c r="Y203" s="187">
        <f t="shared" si="105"/>
        <v>0</v>
      </c>
      <c r="Z203" s="187">
        <f t="shared" si="106"/>
        <v>-0.22</v>
      </c>
      <c r="AA203" s="183">
        <f t="shared" si="107"/>
        <v>0</v>
      </c>
      <c r="AB203" s="187">
        <f t="shared" si="108"/>
        <v>0</v>
      </c>
      <c r="AC203" s="183">
        <f t="shared" si="109"/>
        <v>0</v>
      </c>
      <c r="AD203" s="188">
        <f t="shared" si="110"/>
        <v>0.58958333333430346</v>
      </c>
      <c r="AE203" s="188">
        <f t="shared" si="111"/>
        <v>0</v>
      </c>
      <c r="AF203" s="188">
        <f t="shared" si="112"/>
        <v>0.58958333333430346</v>
      </c>
      <c r="AG203" s="188">
        <f t="shared" si="113"/>
        <v>0</v>
      </c>
    </row>
    <row r="204" spans="2:33" ht="15" customHeight="1" x14ac:dyDescent="0.15">
      <c r="B204" s="174" t="s">
        <v>5</v>
      </c>
      <c r="C204" s="175" t="s">
        <v>13</v>
      </c>
      <c r="D204" s="176" t="str">
        <f t="shared" si="95"/>
        <v>C</v>
      </c>
      <c r="E204" s="177" t="d">
        <v>2021-01-15T17:15:00.000</v>
      </c>
      <c r="F204" s="178" t="s">
        <v>82</v>
      </c>
      <c r="G204" s="179">
        <v>3762.26</v>
      </c>
      <c r="H204" s="179">
        <v>3779.42</v>
      </c>
      <c r="I204" s="180">
        <f t="shared" si="96"/>
        <v>17.159999999999854</v>
      </c>
      <c r="J204" s="179">
        <v>3650.7</v>
      </c>
      <c r="K204" s="177" t="d">
        <v>2021-01-15T18:24:00.00000029336660775</v>
      </c>
      <c r="L204" s="179">
        <v>3774.08</v>
      </c>
      <c r="M204" s="181">
        <f t="shared" si="97"/>
        <v>-11.82</v>
      </c>
      <c r="N204" s="182">
        <f t="shared" si="98"/>
        <v>-0.69</v>
      </c>
      <c r="O204" s="183">
        <f t="shared" si="99"/>
        <v>0</v>
      </c>
      <c r="P204" s="184">
        <f t="shared" si="100"/>
        <v>0</v>
      </c>
      <c r="Q204" s="184">
        <f t="shared" si="101"/>
        <v>-0.69</v>
      </c>
      <c r="R204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04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24752.5</v>
      </c>
      <c r="T204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204" s="186">
        <f ca="1">IF(Tabla336106734812[[#This Row],[Equity]]&lt;Tabla336106734812[[#This Row],[Equity Peak]],(Tabla336106734812[[#This Row],[Equity Peak]]-Tabla336106734812[[#This Row],[Equity]])/Tabla336106734812[[#This Row],[Equity Peak]],"")</f>
        <v>4.0228770841411403E-2</v>
      </c>
      <c r="V204" s="187">
        <f t="shared" si="102"/>
        <v>0</v>
      </c>
      <c r="W204" s="187">
        <f t="shared" si="103"/>
        <v>0</v>
      </c>
      <c r="X204" s="187">
        <f t="shared" si="104"/>
        <v>0</v>
      </c>
      <c r="Y204" s="187">
        <f t="shared" si="105"/>
        <v>0</v>
      </c>
      <c r="Z204" s="187">
        <f t="shared" si="106"/>
        <v>-0.69</v>
      </c>
      <c r="AA204" s="183">
        <f t="shared" si="107"/>
        <v>0</v>
      </c>
      <c r="AB204" s="187">
        <f t="shared" si="108"/>
        <v>0</v>
      </c>
      <c r="AC204" s="183">
        <f t="shared" si="109"/>
        <v>0</v>
      </c>
      <c r="AD204" s="188">
        <f t="shared" si="110"/>
        <v>4.7916666670062114E-2</v>
      </c>
      <c r="AE204" s="188">
        <f t="shared" si="111"/>
        <v>0</v>
      </c>
      <c r="AF204" s="188">
        <f t="shared" si="112"/>
        <v>4.7916666670062114E-2</v>
      </c>
      <c r="AG204" s="188">
        <f t="shared" si="113"/>
        <v>0</v>
      </c>
    </row>
    <row r="205" spans="2:33" ht="15" customHeight="1" x14ac:dyDescent="0.15">
      <c r="B205" s="174" t="s">
        <v>5</v>
      </c>
      <c r="C205" s="175" t="s">
        <v>13</v>
      </c>
      <c r="D205" s="176" t="str">
        <f t="shared" si="95"/>
        <v>C</v>
      </c>
      <c r="E205" s="177" t="d">
        <v>2021-01-15T03:14:59.99999979045242400</v>
      </c>
      <c r="F205" s="178" t="s">
        <v>82</v>
      </c>
      <c r="G205" s="179">
        <v>3789.71</v>
      </c>
      <c r="H205" s="179">
        <v>3807.56</v>
      </c>
      <c r="I205" s="180">
        <f t="shared" si="96"/>
        <v>17.849999999999909</v>
      </c>
      <c r="J205" s="179">
        <v>3673.66</v>
      </c>
      <c r="K205" s="177" t="d">
        <v>2021-01-15T10:08:00.000000097788870375</v>
      </c>
      <c r="L205" s="179">
        <v>3789.81</v>
      </c>
      <c r="M205" s="181">
        <f t="shared" si="97"/>
        <v>-0.1</v>
      </c>
      <c r="N205" s="182">
        <f t="shared" si="98"/>
        <v>-0.01</v>
      </c>
      <c r="O205" s="183">
        <f t="shared" si="99"/>
        <v>0</v>
      </c>
      <c r="P205" s="184">
        <f t="shared" si="100"/>
        <v>0</v>
      </c>
      <c r="Q205" s="184">
        <f t="shared" si="101"/>
        <v>-0.01</v>
      </c>
      <c r="R205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05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24925</v>
      </c>
      <c r="T205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205" s="186">
        <f ca="1">IF(Tabla336106734812[[#This Row],[Equity]]&lt;Tabla336106734812[[#This Row],[Equity Peak]],(Tabla336106734812[[#This Row],[Equity Peak]]-Tabla336106734812[[#This Row],[Equity]])/Tabla336106734812[[#This Row],[Equity Peak]],"")</f>
        <v>3.3540131834044203E-2</v>
      </c>
      <c r="V205" s="187">
        <f t="shared" si="102"/>
        <v>0</v>
      </c>
      <c r="W205" s="187">
        <f t="shared" si="103"/>
        <v>0</v>
      </c>
      <c r="X205" s="187">
        <f t="shared" si="104"/>
        <v>0</v>
      </c>
      <c r="Y205" s="187">
        <f t="shared" si="105"/>
        <v>0</v>
      </c>
      <c r="Z205" s="187">
        <f t="shared" si="106"/>
        <v>-0.01</v>
      </c>
      <c r="AA205" s="183">
        <f t="shared" si="107"/>
        <v>0</v>
      </c>
      <c r="AB205" s="187">
        <f t="shared" si="108"/>
        <v>0</v>
      </c>
      <c r="AC205" s="183">
        <f t="shared" si="109"/>
        <v>0</v>
      </c>
      <c r="AD205" s="188">
        <f t="shared" si="110"/>
        <v>0.28680555555911269</v>
      </c>
      <c r="AE205" s="188">
        <f t="shared" si="111"/>
        <v>0</v>
      </c>
      <c r="AF205" s="188">
        <f t="shared" si="112"/>
        <v>0.28680555555911269</v>
      </c>
      <c r="AG205" s="188">
        <f t="shared" si="113"/>
        <v>0</v>
      </c>
    </row>
    <row r="206" spans="2:33" ht="15" customHeight="1" x14ac:dyDescent="0.15">
      <c r="B206" s="174" t="s">
        <v>5</v>
      </c>
      <c r="C206" s="175" t="s">
        <v>15</v>
      </c>
      <c r="D206" s="176" t="str">
        <f t="shared" si="95"/>
        <v>C</v>
      </c>
      <c r="E206" s="177" t="d">
        <v>2021-01-13T20:00:00.00000020954757600</v>
      </c>
      <c r="F206" s="178" t="s">
        <v>82</v>
      </c>
      <c r="G206" s="179">
        <v>3813.99</v>
      </c>
      <c r="H206" s="179">
        <v>3794.96</v>
      </c>
      <c r="I206" s="180">
        <f t="shared" si="96"/>
        <v>19.029999999999745</v>
      </c>
      <c r="J206" s="179">
        <v>3937.67</v>
      </c>
      <c r="K206" s="177" t="d">
        <v>2021-01-14T22:09:00.00000029336660775</v>
      </c>
      <c r="L206" s="179">
        <v>3804.88</v>
      </c>
      <c r="M206" s="181">
        <f t="shared" si="97"/>
        <v>-9.11</v>
      </c>
      <c r="N206" s="182">
        <f t="shared" si="98"/>
        <v>-0.48</v>
      </c>
      <c r="O206" s="183">
        <f t="shared" si="99"/>
        <v>0</v>
      </c>
      <c r="P206" s="184">
        <f t="shared" si="100"/>
        <v>0</v>
      </c>
      <c r="Q206" s="184">
        <f t="shared" si="101"/>
        <v>-0.48</v>
      </c>
      <c r="R206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06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24927.5</v>
      </c>
      <c r="T206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206" s="186">
        <f ca="1">IF(Tabla336106734812[[#This Row],[Equity]]&lt;Tabla336106734812[[#This Row],[Equity Peak]],(Tabla336106734812[[#This Row],[Equity Peak]]-Tabla336106734812[[#This Row],[Equity]])/Tabla336106734812[[#This Row],[Equity Peak]],"")</f>
        <v>3.3443195036835981E-2</v>
      </c>
      <c r="V206" s="187">
        <f t="shared" si="102"/>
        <v>0</v>
      </c>
      <c r="W206" s="187">
        <f t="shared" si="103"/>
        <v>0</v>
      </c>
      <c r="X206" s="187">
        <f t="shared" si="104"/>
        <v>0</v>
      </c>
      <c r="Y206" s="187">
        <f t="shared" si="105"/>
        <v>0</v>
      </c>
      <c r="Z206" s="187">
        <f t="shared" si="106"/>
        <v>-0.48</v>
      </c>
      <c r="AA206" s="183">
        <f t="shared" si="107"/>
        <v>0</v>
      </c>
      <c r="AB206" s="187">
        <f t="shared" si="108"/>
        <v>0</v>
      </c>
      <c r="AC206" s="183">
        <f t="shared" si="109"/>
        <v>0</v>
      </c>
      <c r="AD206" s="188">
        <f t="shared" si="110"/>
        <v>1.0895833333343035</v>
      </c>
      <c r="AE206" s="188">
        <f t="shared" si="111"/>
        <v>0</v>
      </c>
      <c r="AF206" s="188">
        <f t="shared" si="112"/>
        <v>1.0895833333343035</v>
      </c>
      <c r="AG206" s="188">
        <f t="shared" si="113"/>
        <v>0</v>
      </c>
    </row>
    <row r="207" spans="2:33" ht="15" customHeight="1" x14ac:dyDescent="0.15">
      <c r="B207" s="174" t="s">
        <v>5</v>
      </c>
      <c r="C207" s="175" t="s">
        <v>15</v>
      </c>
      <c r="D207" s="176" t="str">
        <f t="shared" si="95"/>
        <v>C</v>
      </c>
      <c r="E207" s="177" t="d">
        <v>2021-01-13T06:00:00.000</v>
      </c>
      <c r="F207" s="178" t="s">
        <v>82</v>
      </c>
      <c r="G207" s="179">
        <v>3813.18</v>
      </c>
      <c r="H207" s="179">
        <v>3792.95</v>
      </c>
      <c r="I207" s="180">
        <f t="shared" si="96"/>
        <v>20.230000000000018</v>
      </c>
      <c r="J207" s="179">
        <v>3944.69</v>
      </c>
      <c r="K207" s="177" t="d">
        <v>2021-01-13T13:30:00.000</v>
      </c>
      <c r="L207" s="179">
        <v>3792.95</v>
      </c>
      <c r="M207" s="181">
        <f t="shared" si="97"/>
        <v>-20.23</v>
      </c>
      <c r="N207" s="182">
        <f t="shared" si="98"/>
        <v>-1</v>
      </c>
      <c r="O207" s="183">
        <f t="shared" si="99"/>
        <v>0</v>
      </c>
      <c r="P207" s="184">
        <f t="shared" si="100"/>
        <v>0</v>
      </c>
      <c r="Q207" s="184">
        <f t="shared" si="101"/>
        <v>-1</v>
      </c>
      <c r="R207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07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25047.5</v>
      </c>
      <c r="T207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207" s="186">
        <f ca="1">IF(Tabla336106734812[[#This Row],[Equity]]&lt;Tabla336106734812[[#This Row],[Equity Peak]],(Tabla336106734812[[#This Row],[Equity Peak]]-Tabla336106734812[[#This Row],[Equity]])/Tabla336106734812[[#This Row],[Equity Peak]],"")</f>
        <v>2.8790228770841413E-2</v>
      </c>
      <c r="V207" s="187">
        <f t="shared" si="102"/>
        <v>0</v>
      </c>
      <c r="W207" s="187">
        <f t="shared" si="103"/>
        <v>0</v>
      </c>
      <c r="X207" s="187">
        <f t="shared" si="104"/>
        <v>0</v>
      </c>
      <c r="Y207" s="187">
        <f t="shared" si="105"/>
        <v>0</v>
      </c>
      <c r="Z207" s="187">
        <f t="shared" si="106"/>
        <v>-1</v>
      </c>
      <c r="AA207" s="183">
        <f t="shared" si="107"/>
        <v>0</v>
      </c>
      <c r="AB207" s="187">
        <f t="shared" si="108"/>
        <v>0</v>
      </c>
      <c r="AC207" s="183">
        <f t="shared" si="109"/>
        <v>0</v>
      </c>
      <c r="AD207" s="188">
        <f t="shared" si="110"/>
        <v>0.3125</v>
      </c>
      <c r="AE207" s="188">
        <f t="shared" si="111"/>
        <v>0</v>
      </c>
      <c r="AF207" s="188">
        <f t="shared" si="112"/>
        <v>0.3125</v>
      </c>
      <c r="AG207" s="188">
        <f t="shared" si="113"/>
        <v>0</v>
      </c>
    </row>
    <row r="208" spans="2:33" ht="15" customHeight="1" x14ac:dyDescent="0.15">
      <c r="B208" s="174" t="s">
        <v>5</v>
      </c>
      <c r="C208" s="175" t="s">
        <v>15</v>
      </c>
      <c r="D208" s="176" t="str">
        <f t="shared" si="95"/>
        <v>C</v>
      </c>
      <c r="E208" s="177" t="d">
        <v>2021-01-11T19:44:59.99999979045242400</v>
      </c>
      <c r="F208" s="178" t="s">
        <v>82</v>
      </c>
      <c r="G208" s="179">
        <v>3816.25</v>
      </c>
      <c r="H208" s="179">
        <v>3791.62</v>
      </c>
      <c r="I208" s="180">
        <f t="shared" si="96"/>
        <v>24.630000000000109</v>
      </c>
      <c r="J208" s="179">
        <v>3976.33</v>
      </c>
      <c r="K208" s="177" t="d">
        <v>2021-01-12T16:45:59.99999998603016475</v>
      </c>
      <c r="L208" s="179">
        <v>3792.36</v>
      </c>
      <c r="M208" s="181">
        <f t="shared" si="97"/>
        <v>-23.89</v>
      </c>
      <c r="N208" s="182">
        <f t="shared" si="98"/>
        <v>-0.97</v>
      </c>
      <c r="O208" s="183">
        <f t="shared" si="99"/>
        <v>0</v>
      </c>
      <c r="P208" s="184">
        <f t="shared" si="100"/>
        <v>0</v>
      </c>
      <c r="Q208" s="184">
        <f t="shared" si="101"/>
        <v>-0.97</v>
      </c>
      <c r="R208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08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25297.5</v>
      </c>
      <c r="T208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208" s="186">
        <f ca="1">IF(Tabla336106734812[[#This Row],[Equity]]&lt;Tabla336106734812[[#This Row],[Equity Peak]],(Tabla336106734812[[#This Row],[Equity Peak]]-Tabla336106734812[[#This Row],[Equity]])/Tabla336106734812[[#This Row],[Equity Peak]],"")</f>
        <v>1.9096549050019389E-2</v>
      </c>
      <c r="V208" s="187">
        <f t="shared" si="102"/>
        <v>0</v>
      </c>
      <c r="W208" s="187">
        <f t="shared" si="103"/>
        <v>0</v>
      </c>
      <c r="X208" s="187">
        <f t="shared" si="104"/>
        <v>0</v>
      </c>
      <c r="Y208" s="187">
        <f t="shared" si="105"/>
        <v>0</v>
      </c>
      <c r="Z208" s="187">
        <f t="shared" si="106"/>
        <v>-0.97</v>
      </c>
      <c r="AA208" s="183">
        <f t="shared" si="107"/>
        <v>0</v>
      </c>
      <c r="AB208" s="187">
        <f t="shared" si="108"/>
        <v>0</v>
      </c>
      <c r="AC208" s="183">
        <f t="shared" si="109"/>
        <v>0</v>
      </c>
      <c r="AD208" s="188">
        <f t="shared" si="110"/>
        <v>0.87569444444670808</v>
      </c>
      <c r="AE208" s="188">
        <f t="shared" si="111"/>
        <v>0</v>
      </c>
      <c r="AF208" s="188">
        <f t="shared" si="112"/>
        <v>0.87569444444670808</v>
      </c>
      <c r="AG208" s="188">
        <f t="shared" si="113"/>
        <v>0</v>
      </c>
    </row>
    <row r="209" spans="2:33" ht="15" customHeight="1" x14ac:dyDescent="0.15">
      <c r="B209" s="174" t="s">
        <v>5</v>
      </c>
      <c r="C209" s="175" t="s">
        <v>15</v>
      </c>
      <c r="D209" s="176" t="str">
        <f t="shared" ref="D209:D213" si="114">IF(E209&lt;&gt;"",IF(K209&lt;&gt;"","C","O"),"")</f>
        <v>C</v>
      </c>
      <c r="E209" s="177" t="d">
        <v>2021-01-08T23:15:00.000</v>
      </c>
      <c r="F209" s="178" t="s">
        <v>82</v>
      </c>
      <c r="G209" s="179">
        <v>3830.55</v>
      </c>
      <c r="H209" s="179">
        <v>3804.46</v>
      </c>
      <c r="I209" s="180">
        <f t="shared" ref="I209:I213" si="115">ABS(G209-H209)</f>
        <v>26.090000000000146</v>
      </c>
      <c r="J209" s="179">
        <v>4000.13</v>
      </c>
      <c r="K209" s="177" t="d">
        <v>2021-01-11T04:05:59.99999970663339225</v>
      </c>
      <c r="L209" s="179">
        <v>3804.46</v>
      </c>
      <c r="M209" s="181">
        <f t="shared" ref="M209:M213" si="116">ROUND(IF(C209="L",(L209-G209),(G209-L209)),4)</f>
        <v>-26.09</v>
      </c>
      <c r="N209" s="182">
        <f t="shared" ref="N209:N213" si="117">IFERROR(ROUND((M209/I209),2),"")</f>
        <v>-1</v>
      </c>
      <c r="O209" s="183">
        <f t="shared" ref="O209:O213" si="118">IF(D209="O",IF(N209&lt;0,N209,0),0)</f>
        <v>0</v>
      </c>
      <c r="P209" s="184">
        <f t="shared" si="100"/>
        <v>0</v>
      </c>
      <c r="Q209" s="184">
        <f t="shared" si="101"/>
        <v>-1</v>
      </c>
      <c r="R209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09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25540</v>
      </c>
      <c r="T209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209" s="186">
        <f ca="1">IF(Tabla336106734812[[#This Row],[Equity]]&lt;Tabla336106734812[[#This Row],[Equity Peak]],(Tabla336106734812[[#This Row],[Equity Peak]]-Tabla336106734812[[#This Row],[Equity]])/Tabla336106734812[[#This Row],[Equity Peak]],"")</f>
        <v>9.6936797208220238E-3</v>
      </c>
      <c r="V209" s="187">
        <f t="shared" si="102"/>
        <v>0</v>
      </c>
      <c r="W209" s="187">
        <f t="shared" ref="W209:W213" si="119">IF(D209="O",IF(V209&lt;0,V209,0),0)</f>
        <v>0</v>
      </c>
      <c r="X209" s="187">
        <f t="shared" si="104"/>
        <v>0</v>
      </c>
      <c r="Y209" s="187">
        <f t="shared" ref="Y209:Y213" si="120">IF(D209="O",IF(X209&lt;0,X209,0),0)</f>
        <v>0</v>
      </c>
      <c r="Z209" s="187">
        <f t="shared" si="106"/>
        <v>-1</v>
      </c>
      <c r="AA209" s="183">
        <f t="shared" ref="AA209:AA213" si="121">IF(D209="O",IF(Z209&lt;0,Z209,0),0)</f>
        <v>0</v>
      </c>
      <c r="AB209" s="187">
        <f t="shared" si="108"/>
        <v>0</v>
      </c>
      <c r="AC209" s="183">
        <f t="shared" ref="AC209:AC213" si="122">IF(D209="O",IF(AB209&lt;0,AB209,0),0)</f>
        <v>0</v>
      </c>
      <c r="AD209" s="188">
        <f t="shared" si="110"/>
        <v>2.2020833333299379</v>
      </c>
      <c r="AE209" s="188">
        <f t="shared" ref="AE209:AE213" si="123">IF(N209&gt;0,AD209,0)</f>
        <v>0</v>
      </c>
      <c r="AF209" s="188">
        <f t="shared" si="112"/>
        <v>2.2020833333299379</v>
      </c>
      <c r="AG209" s="188">
        <f t="shared" si="113"/>
        <v>0</v>
      </c>
    </row>
    <row r="210" spans="2:33" ht="15" customHeight="1" x14ac:dyDescent="0.15">
      <c r="B210" s="174" t="s">
        <v>5</v>
      </c>
      <c r="C210" s="175" t="s">
        <v>15</v>
      </c>
      <c r="D210" s="176" t="str">
        <f t="shared" si="114"/>
        <v>C</v>
      </c>
      <c r="E210" s="177" t="d">
        <v>2021-01-06T17:15:00.000</v>
      </c>
      <c r="F210" s="178" t="s">
        <v>82</v>
      </c>
      <c r="G210" s="179">
        <v>3746.01</v>
      </c>
      <c r="H210" s="179">
        <v>3725.43</v>
      </c>
      <c r="I210" s="180">
        <f t="shared" si="115"/>
        <v>20.580000000000382</v>
      </c>
      <c r="J210" s="179">
        <v>3879.78</v>
      </c>
      <c r="K210" s="177" t="d">
        <v>2021-01-06T21:24:00.00000029336660775</v>
      </c>
      <c r="L210" s="179">
        <v>3760.85</v>
      </c>
      <c r="M210" s="181">
        <f t="shared" si="116"/>
        <v>14.84</v>
      </c>
      <c r="N210" s="182">
        <f t="shared" si="117"/>
        <v>0.72</v>
      </c>
      <c r="O210" s="183">
        <f t="shared" si="118"/>
        <v>0</v>
      </c>
      <c r="P210" s="184">
        <f t="shared" si="100"/>
        <v>0.72</v>
      </c>
      <c r="Q210" s="184">
        <f t="shared" si="101"/>
        <v>0</v>
      </c>
      <c r="R210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10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25790</v>
      </c>
      <c r="T210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25790</v>
      </c>
      <c r="U210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210" s="187">
        <f t="shared" si="102"/>
        <v>0</v>
      </c>
      <c r="W210" s="187">
        <f t="shared" si="119"/>
        <v>0</v>
      </c>
      <c r="X210" s="187">
        <f t="shared" si="104"/>
        <v>0</v>
      </c>
      <c r="Y210" s="187">
        <f t="shared" si="120"/>
        <v>0</v>
      </c>
      <c r="Z210" s="187">
        <f t="shared" si="106"/>
        <v>0.72</v>
      </c>
      <c r="AA210" s="183">
        <f t="shared" si="121"/>
        <v>0</v>
      </c>
      <c r="AB210" s="187">
        <f t="shared" si="108"/>
        <v>0</v>
      </c>
      <c r="AC210" s="183">
        <f t="shared" si="122"/>
        <v>0</v>
      </c>
      <c r="AD210" s="188">
        <f t="shared" si="110"/>
        <v>0.17291666667006211</v>
      </c>
      <c r="AE210" s="188">
        <f t="shared" si="123"/>
        <v>0.17291666667006211</v>
      </c>
      <c r="AF210" s="188">
        <f t="shared" si="112"/>
        <v>0</v>
      </c>
      <c r="AG210" s="188">
        <f t="shared" si="113"/>
        <v>0</v>
      </c>
    </row>
    <row r="211" spans="2:33" ht="15" customHeight="1" x14ac:dyDescent="0.15">
      <c r="B211" s="174" t="s">
        <v>5</v>
      </c>
      <c r="C211" s="175" t="s">
        <v>15</v>
      </c>
      <c r="D211" s="176" t="str">
        <f t="shared" si="114"/>
        <v>C</v>
      </c>
      <c r="E211" s="177" t="d">
        <v>2021-01-05T21:14:59.99999979045242400</v>
      </c>
      <c r="F211" s="178" t="s">
        <v>82</v>
      </c>
      <c r="G211" s="179">
        <v>3734.17</v>
      </c>
      <c r="H211" s="179">
        <v>3717.06</v>
      </c>
      <c r="I211" s="180">
        <f t="shared" si="115"/>
        <v>17.110000000000127</v>
      </c>
      <c r="J211" s="179">
        <v>3845.36</v>
      </c>
      <c r="K211" s="177" t="d">
        <v>2021-01-06T02:54:00.00000008381903175</v>
      </c>
      <c r="L211" s="179">
        <v>3724.6</v>
      </c>
      <c r="M211" s="181">
        <f t="shared" si="116"/>
        <v>-9.57</v>
      </c>
      <c r="N211" s="182">
        <f t="shared" si="117"/>
        <v>-0.56000000000000005</v>
      </c>
      <c r="O211" s="183">
        <f t="shared" si="118"/>
        <v>0</v>
      </c>
      <c r="P211" s="184">
        <f t="shared" si="100"/>
        <v>0</v>
      </c>
      <c r="Q211" s="184">
        <f t="shared" si="101"/>
        <v>-0.56000000000000005</v>
      </c>
      <c r="R211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11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25610</v>
      </c>
      <c r="T211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25750</v>
      </c>
      <c r="U211" s="186">
        <f ca="1">IF(Tabla336106734812[[#This Row],[Equity]]&lt;Tabla336106734812[[#This Row],[Equity Peak]],(Tabla336106734812[[#This Row],[Equity Peak]]-Tabla336106734812[[#This Row],[Equity]])/Tabla336106734812[[#This Row],[Equity Peak]],"")</f>
        <v>5.4368932038834951E-3</v>
      </c>
      <c r="V211" s="187">
        <f t="shared" si="102"/>
        <v>0</v>
      </c>
      <c r="W211" s="187">
        <f t="shared" si="119"/>
        <v>0</v>
      </c>
      <c r="X211" s="187">
        <f t="shared" si="104"/>
        <v>0</v>
      </c>
      <c r="Y211" s="187">
        <f t="shared" si="120"/>
        <v>0</v>
      </c>
      <c r="Z211" s="187">
        <f t="shared" si="106"/>
        <v>-0.56000000000000005</v>
      </c>
      <c r="AA211" s="183">
        <f t="shared" si="121"/>
        <v>0</v>
      </c>
      <c r="AB211" s="187">
        <f t="shared" si="108"/>
        <v>0</v>
      </c>
      <c r="AC211" s="183">
        <f t="shared" si="122"/>
        <v>0</v>
      </c>
      <c r="AD211" s="188">
        <f t="shared" si="110"/>
        <v>0.23541666667006211</v>
      </c>
      <c r="AE211" s="188">
        <f t="shared" si="123"/>
        <v>0</v>
      </c>
      <c r="AF211" s="188">
        <f t="shared" si="112"/>
        <v>0.23541666667006211</v>
      </c>
      <c r="AG211" s="188">
        <f t="shared" si="113"/>
        <v>0</v>
      </c>
    </row>
    <row r="212" spans="2:33" ht="15" customHeight="1" x14ac:dyDescent="0.15">
      <c r="B212" s="174" t="s">
        <v>5</v>
      </c>
      <c r="C212" s="175" t="s">
        <v>13</v>
      </c>
      <c r="D212" s="176" t="str">
        <f t="shared" si="114"/>
        <v>C</v>
      </c>
      <c r="E212" s="177" t="d">
        <v>2021-01-04T18:00:00.000</v>
      </c>
      <c r="F212" s="178" t="s">
        <v>82</v>
      </c>
      <c r="G212" s="179">
        <v>3712.19</v>
      </c>
      <c r="H212" s="179">
        <v>3724.16</v>
      </c>
      <c r="I212" s="180">
        <f t="shared" si="115"/>
        <v>11.9699999999998</v>
      </c>
      <c r="J212" s="179">
        <v>3634.36</v>
      </c>
      <c r="K212" s="177" t="d">
        <v>2021-01-04T19:24:00.00000008381903175</v>
      </c>
      <c r="L212" s="179">
        <v>3677.25</v>
      </c>
      <c r="M212" s="181">
        <f t="shared" si="116"/>
        <v>34.94</v>
      </c>
      <c r="N212" s="182">
        <f t="shared" si="117"/>
        <v>2.92</v>
      </c>
      <c r="O212" s="183">
        <f t="shared" si="118"/>
        <v>0</v>
      </c>
      <c r="P212" s="184">
        <f t="shared" si="100"/>
        <v>2.92</v>
      </c>
      <c r="Q212" s="184">
        <f t="shared" si="101"/>
        <v>0</v>
      </c>
      <c r="R212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12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25750</v>
      </c>
      <c r="T212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25750</v>
      </c>
      <c r="U212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212" s="187">
        <f t="shared" si="102"/>
        <v>0</v>
      </c>
      <c r="W212" s="187">
        <f t="shared" si="119"/>
        <v>0</v>
      </c>
      <c r="X212" s="187">
        <f t="shared" si="104"/>
        <v>0</v>
      </c>
      <c r="Y212" s="187">
        <f t="shared" si="120"/>
        <v>0</v>
      </c>
      <c r="Z212" s="187">
        <f t="shared" si="106"/>
        <v>2.92</v>
      </c>
      <c r="AA212" s="183">
        <f t="shared" si="121"/>
        <v>0</v>
      </c>
      <c r="AB212" s="187">
        <f t="shared" si="108"/>
        <v>0</v>
      </c>
      <c r="AC212" s="183">
        <f t="shared" si="122"/>
        <v>0</v>
      </c>
      <c r="AD212" s="188">
        <f t="shared" si="110"/>
        <v>5.8333333334303461E-2</v>
      </c>
      <c r="AE212" s="188">
        <f t="shared" si="123"/>
        <v>5.8333333334303461E-2</v>
      </c>
      <c r="AF212" s="188">
        <f t="shared" si="112"/>
        <v>0</v>
      </c>
      <c r="AG212" s="188">
        <f t="shared" si="113"/>
        <v>0</v>
      </c>
    </row>
    <row r="213" spans="2:33" ht="15" customHeight="1" x14ac:dyDescent="0.15">
      <c r="B213" s="174" t="s">
        <v>5</v>
      </c>
      <c r="C213" s="175" t="s">
        <v>15</v>
      </c>
      <c r="D213" s="176" t="str">
        <f t="shared" si="114"/>
        <v>C</v>
      </c>
      <c r="E213" s="177" t="d">
        <v>2021-01-04T09:14:59.99999979045242400</v>
      </c>
      <c r="F213" s="178" t="s">
        <v>82</v>
      </c>
      <c r="G213" s="179">
        <v>3767.42</v>
      </c>
      <c r="H213" s="179">
        <v>3755.83</v>
      </c>
      <c r="I213" s="180">
        <f t="shared" si="115"/>
        <v>11.590000000000146</v>
      </c>
      <c r="J213" s="179">
        <v>3842.76</v>
      </c>
      <c r="K213" s="177" t="d">
        <v>2021-01-04T15:53:59.99999987427145575</v>
      </c>
      <c r="L213" s="179">
        <v>3768.36</v>
      </c>
      <c r="M213" s="181">
        <f t="shared" si="116"/>
        <v>0.94</v>
      </c>
      <c r="N213" s="182">
        <f t="shared" si="117"/>
        <v>0.08</v>
      </c>
      <c r="O213" s="183">
        <f t="shared" si="118"/>
        <v>0</v>
      </c>
      <c r="P213" s="184">
        <f t="shared" si="100"/>
        <v>0.08</v>
      </c>
      <c r="Q213" s="184">
        <f t="shared" si="101"/>
        <v>0</v>
      </c>
      <c r="R213" s="184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13" s="185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25020</v>
      </c>
      <c r="T213" s="185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25020</v>
      </c>
      <c r="U213" s="186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213" s="187">
        <f t="shared" si="102"/>
        <v>0</v>
      </c>
      <c r="W213" s="187">
        <f t="shared" si="119"/>
        <v>0</v>
      </c>
      <c r="X213" s="187">
        <f t="shared" si="104"/>
        <v>0</v>
      </c>
      <c r="Y213" s="187">
        <f t="shared" si="120"/>
        <v>0</v>
      </c>
      <c r="Z213" s="187">
        <f t="shared" si="106"/>
        <v>0.08</v>
      </c>
      <c r="AA213" s="183">
        <f t="shared" si="121"/>
        <v>0</v>
      </c>
      <c r="AB213" s="187">
        <f t="shared" si="108"/>
        <v>0</v>
      </c>
      <c r="AC213" s="183">
        <f t="shared" si="122"/>
        <v>0</v>
      </c>
      <c r="AD213" s="188">
        <f t="shared" si="110"/>
        <v>0.27708333333430346</v>
      </c>
      <c r="AE213" s="188">
        <f t="shared" si="123"/>
        <v>0.27708333333430346</v>
      </c>
      <c r="AF213" s="188">
        <f t="shared" si="112"/>
        <v>0</v>
      </c>
      <c r="AG213" s="188">
        <f t="shared" si="113"/>
        <v>0</v>
      </c>
    </row>
  </sheetData>
  <sheetProtection algorithmName="SHA-512" hashValue="FRTYVfcUlNltelvO+MJR2G7MEL5zSPWQx+HKqU8PiNlo2WhRM1q2St9isblT7XpjeGH/rg55AmNT1kQ21g6k5Q==" saltValue="mhEPl+dN6pv5KiKNAi/MP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41" priority="3" operator="equal">
      <formula>"OK"</formula>
    </cfRule>
    <cfRule type="cellIs" dxfId="40" priority="4" operator="equal">
      <formula>"warning"</formula>
    </cfRule>
  </conditionalFormatting>
  <conditionalFormatting sqref="F13">
    <cfRule type="cellIs" dxfId="39" priority="1" operator="equal">
      <formula>"OK"</formula>
    </cfRule>
    <cfRule type="cellIs" dxfId="38" priority="2" operator="equal">
      <formula>"Error!!"</formula>
    </cfRule>
  </conditionalFormatting>
  <conditionalFormatting sqref="E15:H15 K15:L15">
    <cfRule type="expression" dxfId="37" priority="5">
      <formula>+$D15=#REF!</formula>
    </cfRule>
    <cfRule type="expression" dxfId="36" priority="6">
      <formula>+$D15=#REF!</formula>
    </cfRule>
  </conditionalFormatting>
  <conditionalFormatting sqref="D15 K16:L16 D16:H213 J17:L213">
    <cfRule type="expression" dxfId="35" priority="7">
      <formula>+$D15=$AG$8</formula>
    </cfRule>
    <cfRule type="expression" dxfId="34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7:B213" xr:uid="{E42B4B5B-1466-4C23-A919-445FAC5C5BCF}">
      <formula1>$AE$4:$AE$7</formula1>
    </dataValidation>
    <dataValidation type="list" allowBlank="1" showInputMessage="1" showErrorMessage="1" promptTitle="Instrument Type" prompt="Select Type from List_x000a_" sqref="B15:B16" xr:uid="{F85ABCA4-38C2-420F-875E-43386DED7162}">
      <formula1>$AE$4:$AE$6</formula1>
    </dataValidation>
    <dataValidation type="list" allowBlank="1" showInputMessage="1" showErrorMessage="1" promptTitle="Trade Direction" prompt="Select from List" sqref="C15:C17" xr:uid="{0AFBE46F-E6CB-4C42-B831-8A17AF005034}">
      <formula1>$AG$4:$AG$5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Master</vt:lpstr>
      <vt:lpstr>Sheet1</vt:lpstr>
      <vt:lpstr>Reference Table</vt:lpstr>
      <vt:lpstr>Template</vt:lpstr>
      <vt:lpstr>GBPJPY</vt:lpstr>
      <vt:lpstr>USDJPY</vt:lpstr>
      <vt:lpstr>XAUUSD</vt:lpstr>
      <vt:lpstr>GER30</vt:lpstr>
      <vt:lpstr>NDX100</vt:lpstr>
      <vt:lpstr>SPX500</vt:lpstr>
      <vt:lpstr>GBPJPY!Print_Area</vt:lpstr>
      <vt:lpstr>'GER30'!Print_Area</vt:lpstr>
      <vt:lpstr>Master!Print_Area</vt:lpstr>
      <vt:lpstr>'NDX100'!Print_Area</vt:lpstr>
      <vt:lpstr>'SPX500'!Print_Area</vt:lpstr>
      <vt:lpstr>Template!Print_Area</vt:lpstr>
      <vt:lpstr>USDJPY!Print_Area</vt:lpstr>
      <vt:lpstr>XAUUSD!Print_Area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Simpson;Peter Hunt;Stacey Eaton</dc:creator>
  <cp:lastModifiedBy>Microsoft Office User</cp:lastModifiedBy>
  <cp:lastPrinted>2022-10-04T13:08:24Z</cp:lastPrinted>
  <dcterms:created xsi:type="dcterms:W3CDTF">2011-04-10T08:00:21Z</dcterms:created>
  <dcterms:modified xsi:type="dcterms:W3CDTF">2023-05-17T00:30:44Z</dcterms:modified>
</cp:coreProperties>
</file>